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ag3_34\1_Organisation\5_Website\Download\"/>
    </mc:Choice>
  </mc:AlternateContent>
  <xr:revisionPtr revIDLastSave="0" documentId="13_ncr:1_{D59B2ADC-33A9-4714-AACA-B8AC6E522B86}" xr6:coauthVersionLast="47" xr6:coauthVersionMax="47" xr10:uidLastSave="{00000000-0000-0000-0000-000000000000}"/>
  <bookViews>
    <workbookView xWindow="-108" yWindow="-108" windowWidth="23256" windowHeight="13896" tabRatio="848" xr2:uid="{00000000-000D-0000-FFFF-FFFF00000000}"/>
  </bookViews>
  <sheets>
    <sheet name="Hinweise" sheetId="4" r:id="rId1"/>
    <sheet name="Begründungen" sheetId="5" r:id="rId2"/>
    <sheet name="TWW-DIM-Beispiel" sheetId="46" r:id="rId3"/>
    <sheet name="TWW-DIM" sheetId="1" r:id="rId4"/>
    <sheet name="SLS" sheetId="45" r:id="rId5"/>
    <sheet name="A1" sheetId="34" r:id="rId6"/>
    <sheet name="A2" sheetId="43" r:id="rId7"/>
    <sheet name="Auswahl" sheetId="38" r:id="rId8"/>
  </sheets>
  <definedNames>
    <definedName name="_xlnm.Print_Area" localSheetId="5">'A1'!$B$2:$AW$39</definedName>
    <definedName name="_xlnm.Print_Area" localSheetId="6">'A2'!$B$2:$AW$39</definedName>
    <definedName name="_xlnm.Print_Area" localSheetId="1">Begründungen!$A$1:$AW$40</definedName>
    <definedName name="_xlnm.Print_Area" localSheetId="0">Hinweise!$A$4:$AF$60</definedName>
    <definedName name="_xlnm.Print_Area" localSheetId="4">SLS!$B$2:$AW$39</definedName>
    <definedName name="_xlnm.Print_Area" localSheetId="3">'TWW-DIM'!$A$1:$AX$38</definedName>
    <definedName name="_xlnm.Print_Area" localSheetId="2">'TWW-DIM-Beispiel'!$A$1:$AX$38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5" l="1"/>
  <c r="E4" i="5"/>
  <c r="Z37" i="45" l="1"/>
  <c r="Z36" i="45"/>
  <c r="Z35" i="45"/>
  <c r="Z34" i="45"/>
  <c r="Z33" i="45"/>
  <c r="Z32" i="45"/>
  <c r="Z31" i="45"/>
  <c r="Z30" i="34"/>
  <c r="T30" i="34"/>
  <c r="B33" i="34"/>
  <c r="BO25" i="1"/>
  <c r="BV8" i="1"/>
  <c r="BV7" i="1" s="1"/>
  <c r="AD11" i="46"/>
  <c r="BO33" i="46" s="1"/>
  <c r="I22" i="46"/>
  <c r="K50" i="46"/>
  <c r="M45" i="46" s="1"/>
  <c r="M47" i="46"/>
  <c r="AO47" i="46" s="1"/>
  <c r="M44" i="46"/>
  <c r="AC44" i="46" s="1"/>
  <c r="BA37" i="46"/>
  <c r="BA36" i="46"/>
  <c r="BA35" i="46"/>
  <c r="BA34" i="46"/>
  <c r="AK33" i="46"/>
  <c r="V34" i="46" s="1"/>
  <c r="BH30" i="46" s="1"/>
  <c r="BH31" i="46" s="1"/>
  <c r="AG33" i="46"/>
  <c r="AL31" i="46"/>
  <c r="AD30" i="46"/>
  <c r="BI29" i="46"/>
  <c r="BF28" i="46"/>
  <c r="BC28" i="46"/>
  <c r="U28" i="46"/>
  <c r="AG27" i="46" s="1"/>
  <c r="U27" i="46"/>
  <c r="AI27" i="46" s="1"/>
  <c r="AG25" i="46"/>
  <c r="O25" i="46"/>
  <c r="AD24" i="46"/>
  <c r="X26" i="46" s="1"/>
  <c r="L24" i="46"/>
  <c r="K24" i="46"/>
  <c r="U23" i="46"/>
  <c r="BU22" i="46"/>
  <c r="AO22" i="46"/>
  <c r="AD18" i="46"/>
  <c r="X20" i="46" s="1"/>
  <c r="BU17" i="46"/>
  <c r="BE17" i="46"/>
  <c r="BB17" i="46"/>
  <c r="BB18" i="46" s="1"/>
  <c r="BF20" i="46" s="1"/>
  <c r="U17" i="46"/>
  <c r="AO16" i="46"/>
  <c r="CM14" i="46"/>
  <c r="CM13" i="46" s="1"/>
  <c r="CD14" i="46"/>
  <c r="CD11" i="46" s="1"/>
  <c r="BU14" i="46"/>
  <c r="BU12" i="46" s="1"/>
  <c r="BH14" i="46"/>
  <c r="BF22" i="46" s="1"/>
  <c r="BE14" i="46"/>
  <c r="BC22" i="46" s="1"/>
  <c r="Q13" i="46"/>
  <c r="CD12" i="46"/>
  <c r="X12" i="46"/>
  <c r="BU11" i="46"/>
  <c r="CM10" i="46"/>
  <c r="C10" i="46"/>
  <c r="AH30" i="46" s="1"/>
  <c r="B10" i="46"/>
  <c r="CB25" i="46" s="1"/>
  <c r="CM9" i="46"/>
  <c r="CM8" i="46"/>
  <c r="AP8" i="46"/>
  <c r="AH11" i="46" s="1"/>
  <c r="AD8" i="46"/>
  <c r="CM7" i="46"/>
  <c r="CB5" i="46"/>
  <c r="CA5" i="46"/>
  <c r="CS5" i="46" s="1"/>
  <c r="BZ5" i="46"/>
  <c r="CK2" i="46"/>
  <c r="CB2" i="46"/>
  <c r="CT2" i="46" s="1"/>
  <c r="AO16" i="1"/>
  <c r="BA35" i="1"/>
  <c r="W30" i="34" l="1"/>
  <c r="CG7" i="1"/>
  <c r="CI7" i="1" s="1"/>
  <c r="BZ7" i="46"/>
  <c r="CR5" i="46"/>
  <c r="CA7" i="46"/>
  <c r="BU8" i="46"/>
  <c r="BU9" i="46"/>
  <c r="BU10" i="46"/>
  <c r="CM11" i="46"/>
  <c r="CM12" i="46"/>
  <c r="V26" i="46"/>
  <c r="S44" i="46"/>
  <c r="AA47" i="46"/>
  <c r="AG44" i="46"/>
  <c r="M50" i="46"/>
  <c r="M48" i="46" s="1"/>
  <c r="M51" i="46" s="1"/>
  <c r="CD13" i="46"/>
  <c r="V20" i="46"/>
  <c r="CD9" i="46"/>
  <c r="CD7" i="46"/>
  <c r="CD8" i="46"/>
  <c r="CD10" i="46"/>
  <c r="BC31" i="46"/>
  <c r="M42" i="46"/>
  <c r="CB7" i="46"/>
  <c r="CT5" i="46"/>
  <c r="BR18" i="46"/>
  <c r="W44" i="46"/>
  <c r="AI44" i="46"/>
  <c r="AE47" i="46"/>
  <c r="BU7" i="46"/>
  <c r="BU13" i="46"/>
  <c r="AM44" i="46"/>
  <c r="Q47" i="46"/>
  <c r="AK47" i="46"/>
  <c r="AL32" i="46"/>
  <c r="O44" i="46"/>
  <c r="Y44" i="46" s="1"/>
  <c r="U47" i="46"/>
  <c r="BI29" i="1"/>
  <c r="O42" i="46" l="1"/>
  <c r="O45" i="46"/>
  <c r="O50" i="46" s="1"/>
  <c r="AJ24" i="45"/>
  <c r="U23" i="1"/>
  <c r="U17" i="1"/>
  <c r="Q48" i="46" l="1"/>
  <c r="Q42" i="46"/>
  <c r="AK33" i="1"/>
  <c r="AG33" i="1"/>
  <c r="Q51" i="46" l="1"/>
  <c r="V34" i="1"/>
  <c r="BH30" i="1" s="1"/>
  <c r="U27" i="1"/>
  <c r="AI27" i="1" s="1"/>
  <c r="U28" i="1"/>
  <c r="AG27" i="1" s="1"/>
  <c r="O25" i="1"/>
  <c r="S45" i="46" l="1"/>
  <c r="S42" i="46"/>
  <c r="BF28" i="1"/>
  <c r="BC28" i="1"/>
  <c r="S50" i="46" l="1"/>
  <c r="BE17" i="1"/>
  <c r="BH14" i="1"/>
  <c r="BF22" i="1" s="1"/>
  <c r="BE14" i="1"/>
  <c r="BC22" i="1" s="1"/>
  <c r="BB17" i="1"/>
  <c r="U48" i="46" l="1"/>
  <c r="U42" i="46"/>
  <c r="U51" i="46"/>
  <c r="BB18" i="1"/>
  <c r="BF20" i="1" s="1"/>
  <c r="D14" i="45"/>
  <c r="AD24" i="1"/>
  <c r="AD18" i="1"/>
  <c r="V20" i="1" s="1"/>
  <c r="W45" i="46" l="1"/>
  <c r="W42" i="46"/>
  <c r="X20" i="1"/>
  <c r="G17" i="45"/>
  <c r="D20" i="45"/>
  <c r="D19" i="45"/>
  <c r="D17" i="45"/>
  <c r="C37" i="45"/>
  <c r="C36" i="45"/>
  <c r="C35" i="45"/>
  <c r="C34" i="45"/>
  <c r="C33" i="45"/>
  <c r="C32" i="45"/>
  <c r="C31" i="45"/>
  <c r="C30" i="45"/>
  <c r="C28" i="45"/>
  <c r="B37" i="45" s="1"/>
  <c r="Y25" i="45"/>
  <c r="AU25" i="45" s="1"/>
  <c r="V25" i="45"/>
  <c r="AR25" i="45" s="1"/>
  <c r="S25" i="45"/>
  <c r="AO25" i="45" s="1"/>
  <c r="AL23" i="45"/>
  <c r="P23" i="45"/>
  <c r="AF25" i="45"/>
  <c r="N21" i="45"/>
  <c r="J21" i="45"/>
  <c r="G21" i="45"/>
  <c r="D21" i="45"/>
  <c r="J19" i="45"/>
  <c r="AL19" i="45" s="1"/>
  <c r="G19" i="45"/>
  <c r="J17" i="45"/>
  <c r="AL17" i="45" s="1"/>
  <c r="N14" i="45"/>
  <c r="AT5" i="45"/>
  <c r="AJ5" i="45"/>
  <c r="Q5" i="45"/>
  <c r="F5" i="45"/>
  <c r="AT4" i="45"/>
  <c r="AJ4" i="45"/>
  <c r="CM14" i="1"/>
  <c r="CM8" i="1" s="1"/>
  <c r="AO22" i="1"/>
  <c r="AD30" i="1"/>
  <c r="B10" i="1"/>
  <c r="C10" i="1"/>
  <c r="C30" i="43"/>
  <c r="C28" i="43"/>
  <c r="C28" i="34"/>
  <c r="C30" i="34"/>
  <c r="C31" i="34"/>
  <c r="AJ19" i="43"/>
  <c r="AJ17" i="43"/>
  <c r="N21" i="43"/>
  <c r="D21" i="43"/>
  <c r="D19" i="43"/>
  <c r="D17" i="43"/>
  <c r="CD14" i="1"/>
  <c r="CD7" i="1" s="1"/>
  <c r="C37" i="43"/>
  <c r="C36" i="43"/>
  <c r="C35" i="43"/>
  <c r="C34" i="43"/>
  <c r="C33" i="43"/>
  <c r="C32" i="43"/>
  <c r="C31" i="43"/>
  <c r="Y25" i="43"/>
  <c r="AU25" i="43" s="1"/>
  <c r="V25" i="43"/>
  <c r="AR25" i="43" s="1"/>
  <c r="S25" i="43"/>
  <c r="AO25" i="43" s="1"/>
  <c r="AL23" i="43"/>
  <c r="P23" i="43"/>
  <c r="J21" i="43"/>
  <c r="G21" i="43"/>
  <c r="D20" i="43"/>
  <c r="J19" i="43"/>
  <c r="G19" i="43"/>
  <c r="J17" i="43"/>
  <c r="G17" i="43"/>
  <c r="N14" i="43"/>
  <c r="AT5" i="43"/>
  <c r="AJ5" i="43"/>
  <c r="Q5" i="43"/>
  <c r="F5" i="43"/>
  <c r="AT4" i="43"/>
  <c r="AJ4" i="43"/>
  <c r="CB2" i="1"/>
  <c r="CT2" i="1" s="1"/>
  <c r="CB5" i="1"/>
  <c r="CT5" i="1" s="1"/>
  <c r="CA5" i="1"/>
  <c r="CS5" i="1" s="1"/>
  <c r="BZ5" i="1"/>
  <c r="CK2" i="1"/>
  <c r="D21" i="34"/>
  <c r="G21" i="34"/>
  <c r="G19" i="34"/>
  <c r="G17" i="34"/>
  <c r="AJ19" i="34"/>
  <c r="AJ17" i="34"/>
  <c r="AL23" i="34"/>
  <c r="Y25" i="34"/>
  <c r="V25" i="34"/>
  <c r="AU25" i="34" l="1"/>
  <c r="CK5" i="46"/>
  <c r="AR25" i="34"/>
  <c r="CJ5" i="46"/>
  <c r="W50" i="46"/>
  <c r="AJ24" i="34"/>
  <c r="AF25" i="34" s="1"/>
  <c r="CR5" i="1"/>
  <c r="BZ7" i="1"/>
  <c r="N17" i="45"/>
  <c r="P17" i="45" s="1"/>
  <c r="V17" i="45" s="1"/>
  <c r="S14" i="45"/>
  <c r="N18" i="45"/>
  <c r="V23" i="45"/>
  <c r="S23" i="45"/>
  <c r="B31" i="45"/>
  <c r="B34" i="45"/>
  <c r="AL21" i="45"/>
  <c r="AU21" i="45" s="1"/>
  <c r="AU19" i="45"/>
  <c r="AO23" i="45"/>
  <c r="AO17" i="45"/>
  <c r="AR23" i="45"/>
  <c r="AR17" i="45"/>
  <c r="AU17" i="45"/>
  <c r="AO19" i="45"/>
  <c r="P21" i="45"/>
  <c r="Y23" i="45"/>
  <c r="AU23" i="45"/>
  <c r="B35" i="45"/>
  <c r="AR19" i="45"/>
  <c r="B30" i="45"/>
  <c r="B32" i="45"/>
  <c r="B36" i="45"/>
  <c r="B33" i="45"/>
  <c r="B35" i="43"/>
  <c r="B31" i="34"/>
  <c r="B30" i="34"/>
  <c r="AH15" i="34" s="1"/>
  <c r="B32" i="43"/>
  <c r="B36" i="43"/>
  <c r="B33" i="43"/>
  <c r="B37" i="43"/>
  <c r="B30" i="43"/>
  <c r="AH15" i="43" s="1"/>
  <c r="B34" i="43"/>
  <c r="B31" i="43"/>
  <c r="CM9" i="1"/>
  <c r="CM12" i="1"/>
  <c r="CB7" i="1"/>
  <c r="CM11" i="1"/>
  <c r="CA7" i="1"/>
  <c r="CD10" i="1"/>
  <c r="CM7" i="1"/>
  <c r="CM10" i="1"/>
  <c r="CM13" i="1"/>
  <c r="CD12" i="1"/>
  <c r="CD8" i="1"/>
  <c r="CD13" i="1"/>
  <c r="CD9" i="1"/>
  <c r="CD11" i="1"/>
  <c r="AJ24" i="43"/>
  <c r="AF25" i="43" s="1"/>
  <c r="AL17" i="43"/>
  <c r="AU17" i="43" s="1"/>
  <c r="AL19" i="43"/>
  <c r="AU19" i="43" s="1"/>
  <c r="V23" i="43"/>
  <c r="AL21" i="43"/>
  <c r="AO21" i="43" s="1"/>
  <c r="N18" i="43"/>
  <c r="S14" i="43"/>
  <c r="AU23" i="43"/>
  <c r="AR23" i="43"/>
  <c r="S23" i="43"/>
  <c r="AO23" i="43"/>
  <c r="P21" i="43"/>
  <c r="Y23" i="43"/>
  <c r="CJ5" i="1"/>
  <c r="CK5" i="1"/>
  <c r="Y42" i="46" l="1"/>
  <c r="Y45" i="46"/>
  <c r="N19" i="45"/>
  <c r="P19" i="45" s="1"/>
  <c r="Y19" i="45" s="1"/>
  <c r="AR21" i="45"/>
  <c r="AR24" i="45" s="1"/>
  <c r="AL24" i="45"/>
  <c r="AF24" i="45" s="1"/>
  <c r="AO21" i="45"/>
  <c r="AO24" i="45" s="1"/>
  <c r="Y17" i="45"/>
  <c r="S17" i="45"/>
  <c r="V21" i="45"/>
  <c r="Y21" i="45"/>
  <c r="S21" i="45"/>
  <c r="AU24" i="45"/>
  <c r="AU21" i="43"/>
  <c r="AU24" i="43" s="1"/>
  <c r="AR21" i="43"/>
  <c r="AO19" i="43"/>
  <c r="AR19" i="43"/>
  <c r="AR17" i="43"/>
  <c r="AL24" i="43"/>
  <c r="CN7" i="46" s="1"/>
  <c r="AO17" i="43"/>
  <c r="S21" i="43"/>
  <c r="Y21" i="43"/>
  <c r="V21" i="43"/>
  <c r="D14" i="34"/>
  <c r="D19" i="34"/>
  <c r="D17" i="34"/>
  <c r="Y50" i="46" l="1"/>
  <c r="T30" i="45"/>
  <c r="AB30" i="45" s="1"/>
  <c r="V19" i="45"/>
  <c r="V24" i="45" s="1"/>
  <c r="S19" i="45"/>
  <c r="S24" i="45" s="1"/>
  <c r="P24" i="45"/>
  <c r="M24" i="45"/>
  <c r="Y24" i="45"/>
  <c r="CN7" i="1"/>
  <c r="AO24" i="43"/>
  <c r="AF24" i="43"/>
  <c r="AR24" i="43"/>
  <c r="T30" i="43"/>
  <c r="N18" i="34"/>
  <c r="N17" i="34"/>
  <c r="C32" i="34"/>
  <c r="B32" i="34" s="1"/>
  <c r="C33" i="34"/>
  <c r="C34" i="34"/>
  <c r="B34" i="34" s="1"/>
  <c r="C35" i="34"/>
  <c r="B35" i="34" s="1"/>
  <c r="C36" i="34"/>
  <c r="B36" i="34" s="1"/>
  <c r="C37" i="34"/>
  <c r="B37" i="34" s="1"/>
  <c r="P23" i="34"/>
  <c r="M3" i="38"/>
  <c r="AD11" i="1"/>
  <c r="BO33" i="1" s="1"/>
  <c r="AD8" i="1"/>
  <c r="BU14" i="1"/>
  <c r="AA42" i="46" l="1"/>
  <c r="AA48" i="46"/>
  <c r="AA51" i="46" s="1"/>
  <c r="AB30" i="43"/>
  <c r="W30" i="43"/>
  <c r="CO7" i="46" s="1"/>
  <c r="Z30" i="43"/>
  <c r="T31" i="45"/>
  <c r="I25" i="45"/>
  <c r="I24" i="45"/>
  <c r="N19" i="34"/>
  <c r="BU7" i="1"/>
  <c r="BU10" i="1"/>
  <c r="BU8" i="1"/>
  <c r="BU13" i="1"/>
  <c r="BU11" i="1"/>
  <c r="BU9" i="1"/>
  <c r="BU12" i="1"/>
  <c r="CQ7" i="1" l="1"/>
  <c r="CR7" i="1" s="1"/>
  <c r="CQ7" i="46"/>
  <c r="CP7" i="1"/>
  <c r="CP7" i="46"/>
  <c r="BV8" i="46"/>
  <c r="AC42" i="46"/>
  <c r="AC50" i="46"/>
  <c r="AC45" i="46"/>
  <c r="W37" i="45"/>
  <c r="AB37" i="45" s="1"/>
  <c r="W35" i="45"/>
  <c r="W36" i="45"/>
  <c r="T28" i="45"/>
  <c r="AB28" i="45" s="1"/>
  <c r="W33" i="45"/>
  <c r="W31" i="45"/>
  <c r="W32" i="45"/>
  <c r="W34" i="45"/>
  <c r="CS7" i="1"/>
  <c r="AL31" i="1"/>
  <c r="BU17" i="1"/>
  <c r="CT7" i="1" l="1"/>
  <c r="CS7" i="46"/>
  <c r="CR7" i="46"/>
  <c r="CT7" i="46"/>
  <c r="BW12" i="1"/>
  <c r="BW12" i="46"/>
  <c r="BX12" i="46" s="1"/>
  <c r="BW10" i="1"/>
  <c r="BW10" i="46"/>
  <c r="BV15" i="46"/>
  <c r="BV7" i="46"/>
  <c r="BW7" i="46" s="1"/>
  <c r="BX7" i="46" s="1"/>
  <c r="BW11" i="1"/>
  <c r="BW11" i="46"/>
  <c r="BX11" i="46" s="1"/>
  <c r="BW9" i="1"/>
  <c r="BX9" i="1" s="1"/>
  <c r="BW9" i="46"/>
  <c r="BX9" i="46" s="1"/>
  <c r="BW13" i="1"/>
  <c r="BW13" i="46"/>
  <c r="BX13" i="46" s="1"/>
  <c r="BW8" i="1"/>
  <c r="BX8" i="1" s="1"/>
  <c r="BW8" i="46"/>
  <c r="BX8" i="46" s="1"/>
  <c r="AE42" i="46"/>
  <c r="AE48" i="46"/>
  <c r="AE51" i="46" s="1"/>
  <c r="AB35" i="45"/>
  <c r="AB32" i="45"/>
  <c r="AB33" i="45"/>
  <c r="W28" i="45"/>
  <c r="AB36" i="45"/>
  <c r="AB31" i="45"/>
  <c r="Z30" i="45"/>
  <c r="W30" i="45" s="1"/>
  <c r="AB34" i="45"/>
  <c r="BU22" i="1"/>
  <c r="BY11" i="1" l="1"/>
  <c r="BZ11" i="1" s="1"/>
  <c r="BY11" i="46"/>
  <c r="BY8" i="1"/>
  <c r="BZ8" i="1" s="1"/>
  <c r="BY8" i="46"/>
  <c r="BY9" i="1"/>
  <c r="CB9" i="1" s="1"/>
  <c r="BY9" i="46"/>
  <c r="BX10" i="46"/>
  <c r="BX15" i="46" s="1"/>
  <c r="BW15" i="46"/>
  <c r="BY10" i="1"/>
  <c r="BZ10" i="1" s="1"/>
  <c r="BY10" i="46"/>
  <c r="BY12" i="1"/>
  <c r="BZ12" i="1" s="1"/>
  <c r="BY12" i="46"/>
  <c r="BY13" i="1"/>
  <c r="CB13" i="1" s="1"/>
  <c r="BY13" i="46"/>
  <c r="AG45" i="46"/>
  <c r="AG42" i="46"/>
  <c r="CA9" i="1"/>
  <c r="CB8" i="1"/>
  <c r="AP8" i="1"/>
  <c r="AH11" i="1" s="1"/>
  <c r="BZ13" i="1" l="1"/>
  <c r="CB11" i="1"/>
  <c r="CA11" i="1"/>
  <c r="CB10" i="1"/>
  <c r="BZ9" i="1"/>
  <c r="CA10" i="1"/>
  <c r="CA13" i="1"/>
  <c r="CA8" i="1"/>
  <c r="CA12" i="1"/>
  <c r="CB12" i="46"/>
  <c r="BZ12" i="46"/>
  <c r="CA12" i="46"/>
  <c r="CB8" i="46"/>
  <c r="CA8" i="46"/>
  <c r="BZ8" i="46"/>
  <c r="BZ13" i="46"/>
  <c r="CA13" i="46"/>
  <c r="CB13" i="46"/>
  <c r="BZ10" i="46"/>
  <c r="BZ15" i="46" s="1"/>
  <c r="CB10" i="46"/>
  <c r="CB15" i="46" s="1"/>
  <c r="CA10" i="46"/>
  <c r="CA15" i="46" s="1"/>
  <c r="BY15" i="46"/>
  <c r="BZ9" i="46"/>
  <c r="CA9" i="46"/>
  <c r="CB9" i="46"/>
  <c r="CB11" i="46"/>
  <c r="CA11" i="46"/>
  <c r="BZ11" i="46"/>
  <c r="CB12" i="1"/>
  <c r="AG50" i="46"/>
  <c r="L24" i="1"/>
  <c r="AI45" i="46" l="1"/>
  <c r="AI42" i="46"/>
  <c r="AI50" i="46"/>
  <c r="AL32" i="1"/>
  <c r="AK42" i="46" l="1"/>
  <c r="AK48" i="46"/>
  <c r="AK51" i="46" s="1"/>
  <c r="K24" i="1"/>
  <c r="AM45" i="46" l="1"/>
  <c r="K45" i="46" s="1"/>
  <c r="F11" i="46" s="1"/>
  <c r="AM42" i="46"/>
  <c r="AM50" i="46"/>
  <c r="CB25" i="1"/>
  <c r="F12" i="46" l="1"/>
  <c r="Q12" i="46" s="1"/>
  <c r="Q11" i="46"/>
  <c r="AO48" i="46"/>
  <c r="K48" i="46" s="1"/>
  <c r="AO51" i="46"/>
  <c r="AO42" i="46"/>
  <c r="Q13" i="1"/>
  <c r="Q14" i="46" l="1"/>
  <c r="P14" i="46" s="1"/>
  <c r="A10" i="46"/>
  <c r="N21" i="34"/>
  <c r="M24" i="34" s="1"/>
  <c r="J21" i="34"/>
  <c r="D20" i="34"/>
  <c r="J19" i="34"/>
  <c r="AL19" i="34" s="1"/>
  <c r="J17" i="34"/>
  <c r="S25" i="34"/>
  <c r="CI5" i="46" s="1"/>
  <c r="N14" i="34"/>
  <c r="AT5" i="34"/>
  <c r="AJ5" i="34"/>
  <c r="Q5" i="34"/>
  <c r="F5" i="34"/>
  <c r="AT4" i="34"/>
  <c r="AJ4" i="34"/>
  <c r="P25" i="46" l="1"/>
  <c r="CB22" i="46" s="1"/>
  <c r="D17" i="46"/>
  <c r="AM36" i="46"/>
  <c r="O17" i="46"/>
  <c r="R17" i="46" s="1"/>
  <c r="O16" i="46"/>
  <c r="R16" i="46" s="1"/>
  <c r="AM32" i="46"/>
  <c r="O18" i="46"/>
  <c r="R18" i="46" s="1"/>
  <c r="AO25" i="34"/>
  <c r="AO19" i="34" s="1"/>
  <c r="CI5" i="1"/>
  <c r="AL17" i="34"/>
  <c r="P17" i="34"/>
  <c r="AU19" i="34"/>
  <c r="AR19" i="34"/>
  <c r="AR23" i="34"/>
  <c r="AU23" i="34"/>
  <c r="S23" i="34"/>
  <c r="V23" i="34"/>
  <c r="Y23" i="34"/>
  <c r="AL21" i="34"/>
  <c r="P21" i="34"/>
  <c r="S14" i="34"/>
  <c r="P19" i="34"/>
  <c r="BA14" i="46" l="1"/>
  <c r="BB15" i="46" s="1"/>
  <c r="BA20" i="46" s="1"/>
  <c r="BB21" i="46" s="1"/>
  <c r="BC23" i="46" s="1"/>
  <c r="AM31" i="46"/>
  <c r="D30" i="46"/>
  <c r="BX19" i="46"/>
  <c r="BC32" i="46"/>
  <c r="BH32" i="46" s="1"/>
  <c r="BO25" i="46" s="1"/>
  <c r="BO26" i="46" s="1"/>
  <c r="Z35" i="46" s="1"/>
  <c r="BO32" i="46"/>
  <c r="BA38" i="46"/>
  <c r="P28" i="46"/>
  <c r="P29" i="46" s="1"/>
  <c r="P30" i="46" s="1"/>
  <c r="BH26" i="46"/>
  <c r="K23" i="46"/>
  <c r="O28" i="46"/>
  <c r="L28" i="46"/>
  <c r="CB24" i="46"/>
  <c r="CB26" i="46" s="1"/>
  <c r="AL37" i="46"/>
  <c r="AM37" i="46"/>
  <c r="P26" i="46"/>
  <c r="AO23" i="34"/>
  <c r="AU21" i="34"/>
  <c r="AR21" i="34"/>
  <c r="AO21" i="34"/>
  <c r="V17" i="34"/>
  <c r="S17" i="34"/>
  <c r="Y17" i="34"/>
  <c r="Y21" i="34"/>
  <c r="V21" i="34"/>
  <c r="S21" i="34"/>
  <c r="AR17" i="34"/>
  <c r="AL24" i="34"/>
  <c r="AU17" i="34"/>
  <c r="AO17" i="34"/>
  <c r="Y19" i="34"/>
  <c r="V19" i="34"/>
  <c r="S19" i="34"/>
  <c r="P24" i="34"/>
  <c r="AB30" i="34" l="1"/>
  <c r="CH7" i="46" s="1"/>
  <c r="CE7" i="46"/>
  <c r="CF7" i="46" s="1"/>
  <c r="I25" i="34"/>
  <c r="CE8" i="46"/>
  <c r="CE15" i="46" s="1"/>
  <c r="CE7" i="1"/>
  <c r="S24" i="34"/>
  <c r="AU24" i="34"/>
  <c r="CE8" i="1"/>
  <c r="CE15" i="1" s="1"/>
  <c r="Y24" i="34"/>
  <c r="V24" i="34"/>
  <c r="AF24" i="34"/>
  <c r="AR24" i="34"/>
  <c r="AO24" i="34"/>
  <c r="T31" i="34"/>
  <c r="I24" i="34"/>
  <c r="T28" i="34" l="1"/>
  <c r="Z37" i="34"/>
  <c r="W28" i="34"/>
  <c r="CF7" i="1"/>
  <c r="W33" i="34"/>
  <c r="CF10" i="46" s="1"/>
  <c r="CF15" i="46" s="1"/>
  <c r="CH7" i="1"/>
  <c r="W32" i="34"/>
  <c r="CF9" i="46" s="1"/>
  <c r="W35" i="34"/>
  <c r="CF12" i="46" s="1"/>
  <c r="W36" i="34"/>
  <c r="CF13" i="46" s="1"/>
  <c r="W31" i="34"/>
  <c r="CF8" i="46" s="1"/>
  <c r="W34" i="34"/>
  <c r="CF11" i="46" s="1"/>
  <c r="W37" i="34"/>
  <c r="AB37" i="34" s="1"/>
  <c r="AH30" i="1"/>
  <c r="Z32" i="34" l="1"/>
  <c r="Z33" i="34"/>
  <c r="Z34" i="34"/>
  <c r="Z31" i="34"/>
  <c r="Z35" i="34"/>
  <c r="Z36" i="34"/>
  <c r="AB28" i="34"/>
  <c r="CG7" i="46"/>
  <c r="AB33" i="34"/>
  <c r="CH10" i="46" s="1"/>
  <c r="AB35" i="34"/>
  <c r="CF12" i="1"/>
  <c r="AB34" i="34"/>
  <c r="CF11" i="1"/>
  <c r="AB32" i="34"/>
  <c r="CF9" i="1"/>
  <c r="AB36" i="34"/>
  <c r="CF13" i="1"/>
  <c r="AB31" i="34"/>
  <c r="CF8" i="1"/>
  <c r="CF10" i="1"/>
  <c r="CG12" i="1" l="1"/>
  <c r="CG12" i="46"/>
  <c r="CI10" i="46"/>
  <c r="CI15" i="46" s="1"/>
  <c r="CK10" i="46"/>
  <c r="CK15" i="46" s="1"/>
  <c r="CJ10" i="46"/>
  <c r="CJ15" i="46" s="1"/>
  <c r="CH15" i="46"/>
  <c r="CH11" i="1"/>
  <c r="CJ11" i="1" s="1"/>
  <c r="CH11" i="46"/>
  <c r="CG9" i="1"/>
  <c r="CG9" i="46"/>
  <c r="CI7" i="46"/>
  <c r="CJ7" i="46"/>
  <c r="CK7" i="46"/>
  <c r="CH13" i="1"/>
  <c r="CK13" i="1" s="1"/>
  <c r="CH13" i="46"/>
  <c r="CG10" i="1"/>
  <c r="CG15" i="1" s="1"/>
  <c r="CG10" i="46"/>
  <c r="CG15" i="46" s="1"/>
  <c r="AD19" i="46" s="1"/>
  <c r="CG13" i="1"/>
  <c r="CG13" i="46"/>
  <c r="CH8" i="1"/>
  <c r="CK8" i="1" s="1"/>
  <c r="CH8" i="46"/>
  <c r="CH9" i="1"/>
  <c r="CJ9" i="1" s="1"/>
  <c r="CH9" i="46"/>
  <c r="CH12" i="1"/>
  <c r="CK12" i="1" s="1"/>
  <c r="CH12" i="46"/>
  <c r="CG11" i="1"/>
  <c r="CG11" i="46"/>
  <c r="CG8" i="1"/>
  <c r="CG8" i="46"/>
  <c r="CH10" i="1"/>
  <c r="CF15" i="1"/>
  <c r="CK7" i="1"/>
  <c r="CJ7" i="1"/>
  <c r="AB18" i="1" l="1"/>
  <c r="AD19" i="1" s="1"/>
  <c r="CK10" i="1"/>
  <c r="CK15" i="1" s="1"/>
  <c r="CH15" i="1"/>
  <c r="AA17" i="1" s="1"/>
  <c r="BO30" i="1" s="1"/>
  <c r="CJ13" i="1"/>
  <c r="CI13" i="1"/>
  <c r="CK11" i="1"/>
  <c r="CI12" i="1"/>
  <c r="CJ8" i="1"/>
  <c r="CI8" i="1"/>
  <c r="CJ12" i="1"/>
  <c r="CK9" i="1"/>
  <c r="CI11" i="1"/>
  <c r="CI9" i="1"/>
  <c r="CJ11" i="46"/>
  <c r="CI11" i="46"/>
  <c r="CK11" i="46"/>
  <c r="CI9" i="46"/>
  <c r="CJ9" i="46"/>
  <c r="CK9" i="46"/>
  <c r="CJ13" i="46"/>
  <c r="CK13" i="46"/>
  <c r="CI13" i="46"/>
  <c r="BA33" i="46"/>
  <c r="BO30" i="46"/>
  <c r="AG19" i="46"/>
  <c r="CJ12" i="46"/>
  <c r="CI12" i="46"/>
  <c r="CK12" i="46"/>
  <c r="CK8" i="46"/>
  <c r="CJ8" i="46"/>
  <c r="CI8" i="46"/>
  <c r="BA34" i="1"/>
  <c r="CJ10" i="1"/>
  <c r="CJ15" i="1" s="1"/>
  <c r="CI10" i="1"/>
  <c r="CI15" i="1" s="1"/>
  <c r="X12" i="1"/>
  <c r="BA33" i="1" l="1"/>
  <c r="AG19" i="1"/>
  <c r="M44" i="1"/>
  <c r="K50" i="1" l="1"/>
  <c r="M47" i="1"/>
  <c r="AK47" i="1" s="1"/>
  <c r="AM44" i="1"/>
  <c r="M45" i="1" l="1"/>
  <c r="M50" i="1" s="1"/>
  <c r="M48" i="1" s="1"/>
  <c r="M51" i="1" s="1"/>
  <c r="U47" i="1"/>
  <c r="AA47" i="1"/>
  <c r="S44" i="1"/>
  <c r="AI44" i="1"/>
  <c r="AE47" i="1"/>
  <c r="W44" i="1"/>
  <c r="O44" i="1"/>
  <c r="Y44" i="1" s="1"/>
  <c r="AG44" i="1"/>
  <c r="Q47" i="1"/>
  <c r="AO47" i="1"/>
  <c r="AC44" i="1"/>
  <c r="AT4" i="5"/>
  <c r="AN4" i="5"/>
  <c r="AT3" i="5"/>
  <c r="AP1" i="5"/>
  <c r="AM3" i="5"/>
  <c r="A4" i="4"/>
  <c r="M42" i="1" l="1"/>
  <c r="O42" i="1"/>
  <c r="O45" i="1" l="1"/>
  <c r="O50" i="1" l="1"/>
  <c r="Q48" i="1" s="1"/>
  <c r="Q51" i="1" s="1"/>
  <c r="Q42" i="1" l="1"/>
  <c r="S42" i="1"/>
  <c r="S45" i="1"/>
  <c r="S50" i="1" l="1"/>
  <c r="U42" i="1" s="1"/>
  <c r="U48" i="1" l="1"/>
  <c r="U51" i="1" s="1"/>
  <c r="W45" i="1" s="1"/>
  <c r="W50" i="1" l="1"/>
  <c r="Y42" i="1" s="1"/>
  <c r="W42" i="1"/>
  <c r="Y45" i="1" l="1"/>
  <c r="Y50" i="1" s="1"/>
  <c r="AA42" i="1" l="1"/>
  <c r="AA48" i="1"/>
  <c r="AA51" i="1" s="1"/>
  <c r="AC42" i="1" l="1"/>
  <c r="AC45" i="1"/>
  <c r="AC50" i="1" l="1"/>
  <c r="AE48" i="1" s="1"/>
  <c r="AE51" i="1" s="1"/>
  <c r="AE42" i="1" l="1"/>
  <c r="AG42" i="1"/>
  <c r="AG45" i="1"/>
  <c r="AG50" i="1" l="1"/>
  <c r="AI42" i="1" s="1"/>
  <c r="AI45" i="1" l="1"/>
  <c r="AI50" i="1" l="1"/>
  <c r="AK48" i="1" s="1"/>
  <c r="AK51" i="1" s="1"/>
  <c r="AK42" i="1" l="1"/>
  <c r="AM42" i="1"/>
  <c r="AM45" i="1"/>
  <c r="K45" i="1" s="1"/>
  <c r="AM50" i="1" l="1"/>
  <c r="AO42" i="1" s="1"/>
  <c r="F11" i="1"/>
  <c r="F12" i="1" l="1"/>
  <c r="AO48" i="1"/>
  <c r="K48" i="1" s="1"/>
  <c r="Q11" i="1"/>
  <c r="Q12" i="1" l="1"/>
  <c r="Q14" i="1" s="1"/>
  <c r="P14" i="1" s="1"/>
  <c r="A10" i="1"/>
  <c r="AO51" i="1"/>
  <c r="AM36" i="1" l="1"/>
  <c r="P25" i="1"/>
  <c r="CB22" i="1" s="1"/>
  <c r="AM32" i="1"/>
  <c r="D17" i="1"/>
  <c r="O18" i="1"/>
  <c r="R18" i="1" s="1"/>
  <c r="BA14" i="1" s="1"/>
  <c r="BB15" i="1" s="1"/>
  <c r="O17" i="1"/>
  <c r="R17" i="1" s="1"/>
  <c r="O16" i="1"/>
  <c r="R16" i="1" s="1"/>
  <c r="BR18" i="1"/>
  <c r="BA20" i="1" l="1"/>
  <c r="BB21" i="1" s="1"/>
  <c r="BC23" i="1" s="1"/>
  <c r="AM31" i="1"/>
  <c r="BC32" i="1" s="1"/>
  <c r="D30" i="1"/>
  <c r="P26" i="1"/>
  <c r="BX19" i="1"/>
  <c r="BH32" i="1" l="1"/>
  <c r="AL37" i="1"/>
  <c r="AM37" i="1"/>
  <c r="BV15" i="1" l="1"/>
  <c r="BW7" i="1"/>
  <c r="BX7" i="1" s="1"/>
  <c r="BX11" i="1" l="1"/>
  <c r="BX12" i="1"/>
  <c r="BX13" i="1"/>
  <c r="BX10" i="1" l="1"/>
  <c r="BX15" i="1" s="1"/>
  <c r="BW15" i="1"/>
  <c r="BY15" i="1" l="1"/>
  <c r="I22" i="1" s="1"/>
  <c r="BA38" i="1" s="1"/>
  <c r="CB15" i="1"/>
  <c r="CA15" i="1"/>
  <c r="L28" i="1" l="1"/>
  <c r="O28" i="1"/>
  <c r="P28" i="1"/>
  <c r="P29" i="1" s="1"/>
  <c r="P30" i="1" s="1"/>
  <c r="BO32" i="1"/>
  <c r="BH26" i="1"/>
  <c r="CB24" i="1"/>
  <c r="CB26" i="1" s="1"/>
  <c r="K23" i="1"/>
  <c r="BZ15" i="1"/>
  <c r="BH31" i="1" l="1"/>
  <c r="BC31" i="1" l="1"/>
  <c r="BO26" i="1" s="1"/>
  <c r="V26" i="1"/>
  <c r="X26" i="1" s="1"/>
  <c r="D14" i="43"/>
  <c r="N17" i="43" s="1"/>
  <c r="P17" i="43" s="1"/>
  <c r="Z35" i="1" l="1"/>
  <c r="N19" i="43"/>
  <c r="P19" i="43" s="1"/>
  <c r="V19" i="43" s="1"/>
  <c r="V17" i="43"/>
  <c r="S17" i="43"/>
  <c r="Y17" i="43"/>
  <c r="M24" i="43" l="1"/>
  <c r="V24" i="43"/>
  <c r="P24" i="43"/>
  <c r="Y19" i="43"/>
  <c r="Y24" i="43" s="1"/>
  <c r="S19" i="43"/>
  <c r="S24" i="43" s="1"/>
  <c r="I25" i="43" l="1"/>
  <c r="CN8" i="46"/>
  <c r="CN15" i="46" s="1"/>
  <c r="I24" i="43"/>
  <c r="T31" i="43"/>
  <c r="CN8" i="1"/>
  <c r="CN15" i="1" s="1"/>
  <c r="W31" i="43" l="1"/>
  <c r="W35" i="43"/>
  <c r="T28" i="43"/>
  <c r="AB28" i="43" s="1"/>
  <c r="W34" i="43"/>
  <c r="W32" i="43"/>
  <c r="W37" i="43"/>
  <c r="Z37" i="43" s="1"/>
  <c r="W33" i="43"/>
  <c r="W36" i="43"/>
  <c r="CO8" i="1"/>
  <c r="AB36" i="43" l="1"/>
  <c r="CO13" i="46"/>
  <c r="AB33" i="43"/>
  <c r="CQ10" i="46" s="1"/>
  <c r="CO10" i="46"/>
  <c r="CO15" i="46" s="1"/>
  <c r="Z35" i="43"/>
  <c r="CP12" i="46" s="1"/>
  <c r="CO12" i="46"/>
  <c r="AB34" i="43"/>
  <c r="CO11" i="46"/>
  <c r="CO9" i="1"/>
  <c r="CO9" i="46"/>
  <c r="AB31" i="43"/>
  <c r="CO8" i="46"/>
  <c r="Z31" i="43"/>
  <c r="Z33" i="43"/>
  <c r="Z36" i="43"/>
  <c r="Z34" i="43"/>
  <c r="Z32" i="43"/>
  <c r="AB35" i="43"/>
  <c r="CQ12" i="46" s="1"/>
  <c r="CO12" i="1"/>
  <c r="CO11" i="1"/>
  <c r="AB32" i="43"/>
  <c r="CQ9" i="46" s="1"/>
  <c r="AB37" i="43"/>
  <c r="CO10" i="1"/>
  <c r="CO13" i="1"/>
  <c r="CP12" i="1" l="1"/>
  <c r="CS10" i="46"/>
  <c r="CS15" i="46" s="1"/>
  <c r="CT10" i="46"/>
  <c r="CT15" i="46" s="1"/>
  <c r="CR10" i="46"/>
  <c r="CR15" i="46" s="1"/>
  <c r="CQ15" i="46"/>
  <c r="AA23" i="46" s="1"/>
  <c r="CP9" i="1"/>
  <c r="CP9" i="46"/>
  <c r="CP8" i="1"/>
  <c r="CP8" i="46"/>
  <c r="CR12" i="46"/>
  <c r="CT12" i="46"/>
  <c r="CS12" i="46"/>
  <c r="CP13" i="1"/>
  <c r="CP13" i="46"/>
  <c r="CS9" i="46"/>
  <c r="CT9" i="46"/>
  <c r="CR9" i="46"/>
  <c r="CP10" i="1"/>
  <c r="CP15" i="1" s="1"/>
  <c r="AB24" i="1" s="1"/>
  <c r="CP10" i="46"/>
  <c r="CP15" i="46" s="1"/>
  <c r="AB24" i="46" s="1"/>
  <c r="CQ8" i="1"/>
  <c r="CQ8" i="46"/>
  <c r="CQ11" i="1"/>
  <c r="CQ11" i="46"/>
  <c r="CP11" i="1"/>
  <c r="CP11" i="46"/>
  <c r="CQ10" i="1"/>
  <c r="CR10" i="1" s="1"/>
  <c r="CR15" i="1" s="1"/>
  <c r="CQ13" i="1"/>
  <c r="CQ13" i="46"/>
  <c r="CQ9" i="1"/>
  <c r="CS9" i="1" s="1"/>
  <c r="CQ12" i="1"/>
  <c r="CT12" i="1" s="1"/>
  <c r="CO7" i="1"/>
  <c r="CO15" i="1" s="1"/>
  <c r="CT10" i="1" l="1"/>
  <c r="CT15" i="1" s="1"/>
  <c r="CS10" i="1"/>
  <c r="CS15" i="1" s="1"/>
  <c r="CQ15" i="1"/>
  <c r="AA23" i="1" s="1"/>
  <c r="AG25" i="1" s="1"/>
  <c r="CT8" i="46"/>
  <c r="CR8" i="46"/>
  <c r="CS8" i="46"/>
  <c r="AD25" i="46"/>
  <c r="BO31" i="46"/>
  <c r="BO34" i="46" s="1"/>
  <c r="CT13" i="46"/>
  <c r="CR13" i="46"/>
  <c r="CS13" i="46"/>
  <c r="CR13" i="1"/>
  <c r="CS13" i="1"/>
  <c r="CT13" i="1"/>
  <c r="CR11" i="46"/>
  <c r="CS11" i="46"/>
  <c r="CT11" i="46"/>
  <c r="CT8" i="1"/>
  <c r="CS8" i="1"/>
  <c r="CR8" i="1"/>
  <c r="CS11" i="1"/>
  <c r="CT11" i="1"/>
  <c r="CR11" i="1"/>
  <c r="BA36" i="1"/>
  <c r="CR9" i="1"/>
  <c r="BA37" i="1"/>
  <c r="CT9" i="1"/>
  <c r="CS12" i="1"/>
  <c r="CR12" i="1"/>
  <c r="AD25" i="1" l="1"/>
  <c r="BO31" i="1"/>
  <c r="BO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060borchert</author>
    <author>060Exner</author>
    <author>Exner Adolf (BLB MS)</author>
    <author>Borchert Antonius (BLB MS)</author>
  </authors>
  <commentList>
    <comment ref="G6" authorId="0" shapeId="0" xr:uid="{00000000-0006-0000-0300-000001000000}">
      <text>
        <r>
          <rPr>
            <b/>
            <sz val="9"/>
            <color indexed="81"/>
            <rFont val="Arial"/>
            <family val="2"/>
          </rPr>
          <t>Belegungsstärke:</t>
        </r>
        <r>
          <rPr>
            <sz val="9"/>
            <color indexed="81"/>
            <rFont val="Arial"/>
            <family val="2"/>
          </rPr>
          <t xml:space="preserve">
Es ist eine mit dem Nutzer abzustimmende Anzahl an Personen einzutragen, die das Gebäude regelmäßig belegen, sodass ein bestimmungsgemäßer Betrieb nach VDI 6023 (Wasseraustauch innerhalb 72 h) gewährleistet werden kann. 
</t>
        </r>
      </text>
    </comment>
    <comment ref="AD7" authorId="1" shapeId="0" xr:uid="{00000000-0006-0000-0300-000002000000}">
      <text>
        <r>
          <rPr>
            <b/>
            <sz val="9"/>
            <color indexed="81"/>
            <rFont val="Arial"/>
            <family val="2"/>
          </rPr>
          <t xml:space="preserve">Gebäudeanschlussleistung:
</t>
        </r>
        <r>
          <rPr>
            <sz val="9"/>
            <color indexed="81"/>
            <rFont val="Arial"/>
            <family val="2"/>
          </rPr>
          <t>Es ist die wirklich erforderliche Gebäudeanschlussleistung einzutragen. Alte Werte sind hinsichtlich zwischenzeitlich erfolgter energetischer Sanierungen zu überprüfen und bei Erfordernis zu aktualisieren.</t>
        </r>
      </text>
    </comment>
    <comment ref="AM7" authorId="1" shapeId="0" xr:uid="{00000000-0006-0000-0300-000003000000}">
      <text>
        <r>
          <rPr>
            <sz val="8"/>
            <color indexed="81"/>
            <rFont val="Tahoma"/>
            <family val="2"/>
          </rPr>
          <t>Eingabe der max. möglichen Vorlauftemperatur im Winter (=Auslegungsfall).</t>
        </r>
      </text>
    </comment>
    <comment ref="AP7" authorId="1" shapeId="0" xr:uid="{00000000-0006-0000-0300-000004000000}">
      <text>
        <r>
          <rPr>
            <sz val="8"/>
            <color indexed="81"/>
            <rFont val="Tahoma"/>
            <family val="2"/>
          </rPr>
          <t xml:space="preserve">Eingabe der aus den Gebäudeheizkreisen unter Berücksichtigung der Gleichzeitigkeit zur erwartende Rücklaufmischtemperatur. </t>
        </r>
        <r>
          <rPr>
            <b/>
            <sz val="8"/>
            <color indexed="81"/>
            <rFont val="Tahoma"/>
            <family val="2"/>
          </rPr>
          <t xml:space="preserve">
</t>
        </r>
      </text>
    </comment>
    <comment ref="AD8" authorId="1" shapeId="0" xr:uid="{00000000-0006-0000-0300-000005000000}">
      <text>
        <r>
          <rPr>
            <b/>
            <sz val="9"/>
            <color indexed="81"/>
            <rFont val="Arial"/>
            <family val="2"/>
          </rPr>
          <t>Gebäudedurchfluss eingestellt:</t>
        </r>
        <r>
          <rPr>
            <sz val="9"/>
            <color indexed="81"/>
            <rFont val="Arial"/>
            <family val="2"/>
          </rPr>
          <t xml:space="preserve">
Berechnung des für das Gebäude am Mengen- u. 
Differenzdruckregler einzustellenden maximal zulässigen Volumenstroms.</t>
        </r>
      </text>
    </comment>
    <comment ref="AM8" authorId="0" shapeId="0" xr:uid="{00000000-0006-0000-0300-000006000000}">
      <text>
        <r>
          <rPr>
            <sz val="8"/>
            <color indexed="81"/>
            <rFont val="Tahoma"/>
            <family val="2"/>
          </rPr>
          <t>Eingabe der Vorlauftemperatur in den Sommermonaten.</t>
        </r>
        <r>
          <rPr>
            <sz val="9"/>
            <color indexed="81"/>
            <rFont val="Tahoma"/>
            <family val="2"/>
          </rPr>
          <t xml:space="preserve">
</t>
        </r>
      </text>
    </comment>
    <comment ref="AM9" authorId="1" shapeId="0" xr:uid="{00000000-0006-0000-0300-000007000000}">
      <text>
        <r>
          <rPr>
            <b/>
            <sz val="8"/>
            <color indexed="81"/>
            <rFont val="Tahoma"/>
            <family val="2"/>
          </rPr>
          <t xml:space="preserve">Heizkreis-Vorlauftemperatur tV:
</t>
        </r>
        <r>
          <rPr>
            <sz val="8"/>
            <color indexed="81"/>
            <rFont val="Tahoma"/>
            <family val="2"/>
          </rPr>
          <t xml:space="preserve">Für ein Speicherlade- sowie Frischwassersystem </t>
        </r>
        <r>
          <rPr>
            <b/>
            <sz val="8"/>
            <color indexed="81"/>
            <rFont val="Tahoma"/>
            <family val="2"/>
          </rPr>
          <t>mit Zirkulationsbetrieb</t>
        </r>
        <r>
          <rPr>
            <sz val="8"/>
            <color indexed="81"/>
            <rFont val="Tahoma"/>
            <family val="2"/>
          </rPr>
          <t xml:space="preserve">, sind </t>
        </r>
        <r>
          <rPr>
            <b/>
            <sz val="8"/>
            <color indexed="81"/>
            <rFont val="Tahoma"/>
            <family val="2"/>
          </rPr>
          <t>70°C</t>
        </r>
        <r>
          <rPr>
            <sz val="8"/>
            <color indexed="81"/>
            <rFont val="Tahoma"/>
            <family val="2"/>
          </rPr>
          <t xml:space="preserve"> erforderlich. 
Für ein Frischwassersystem ohne Zirkulationsbetrieb kann 60°C 
( Temperaturen &lt; 60 °C ????) angenommen werden.</t>
        </r>
      </text>
    </comment>
    <comment ref="AP9" authorId="1" shapeId="0" xr:uid="{00000000-0006-0000-0300-000008000000}">
      <text>
        <r>
          <rPr>
            <b/>
            <sz val="8"/>
            <color indexed="81"/>
            <rFont val="Tahoma"/>
            <family val="2"/>
          </rPr>
          <t xml:space="preserve">Heizkreis-Rücklauftemperatur tR:
</t>
        </r>
        <r>
          <rPr>
            <sz val="8"/>
            <color indexed="81"/>
            <rFont val="Tahoma"/>
            <family val="2"/>
          </rPr>
          <t xml:space="preserve">Für ein Speicherladesystem ist die Rücklauftemperatur so zu wählen, dass eine Spreizung von </t>
        </r>
        <r>
          <rPr>
            <b/>
            <sz val="8"/>
            <color indexed="81"/>
            <rFont val="Tahoma"/>
            <family val="2"/>
          </rPr>
          <t>mindestens 30K</t>
        </r>
        <r>
          <rPr>
            <sz val="8"/>
            <color indexed="81"/>
            <rFont val="Tahoma"/>
            <family val="2"/>
          </rPr>
          <t>, besser noch 40K realisiert wird.</t>
        </r>
      </text>
    </comment>
    <comment ref="AD10" authorId="0" shapeId="0" xr:uid="{00000000-0006-0000-0300-000009000000}">
      <text>
        <r>
          <rPr>
            <b/>
            <sz val="9"/>
            <color indexed="81"/>
            <rFont val="Arial"/>
            <family val="2"/>
          </rPr>
          <t>Heizkreis "Trinkwasser-Erwärmung" - Durchfluss:</t>
        </r>
        <r>
          <rPr>
            <sz val="9"/>
            <color indexed="81"/>
            <rFont val="Arial"/>
            <family val="2"/>
          </rPr>
          <t xml:space="preserve">
Hier ist der nutzbare Durchfluss für den Heizkreis der Trinkwassererwärmung einzutragen. Dieser ergibt sich aus dem eingestellten Durchfluss am Gebäudeanschluss (Zelle AD8) abzüglich eines Durchflussanteils, der für nicht abschaltbarte Anlagen (z.B. Duschraumbelüftung) erforderlich ist. 
Andere Heizkreise unterliegen der Vorrangschaltung.</t>
        </r>
      </text>
    </comment>
    <comment ref="AD11" authorId="1" shapeId="0" xr:uid="{00000000-0006-0000-0300-00000A000000}">
      <text>
        <r>
          <rPr>
            <b/>
            <sz val="9"/>
            <color indexed="81"/>
            <rFont val="Arial"/>
            <family val="2"/>
          </rPr>
          <t>Heizkreis "Trinkwasser-Erwärmung" - mögliche Leistung:</t>
        </r>
        <r>
          <rPr>
            <sz val="9"/>
            <color indexed="81"/>
            <rFont val="Arial"/>
            <family val="2"/>
          </rPr>
          <t xml:space="preserve">
Die Leistung bezieht sich auf die Heizkreisrücklauf- und die von der Heizwasser-Wärmeübergabe anstehende Vorlauftemperatur.</t>
        </r>
      </text>
    </comment>
    <comment ref="AG15" authorId="2" shapeId="0" xr:uid="{00000000-0006-0000-0300-00000B000000}">
      <text>
        <r>
          <rPr>
            <b/>
            <sz val="9"/>
            <color indexed="81"/>
            <rFont val="Arial"/>
            <family val="2"/>
          </rPr>
          <t>Versorgungsart bzw. Einsatzbereich:</t>
        </r>
        <r>
          <rPr>
            <sz val="9"/>
            <color indexed="81"/>
            <rFont val="Arial"/>
            <family val="2"/>
          </rPr>
          <t xml:space="preserve">
Diese Eingabe dient der allgemeinen Information und geht in keine Berechnung ein!</t>
        </r>
      </text>
    </comment>
    <comment ref="AQ15" authorId="2" shapeId="0" xr:uid="{00000000-0006-0000-0300-00000C000000}">
      <text>
        <r>
          <rPr>
            <b/>
            <sz val="9"/>
            <color indexed="81"/>
            <rFont val="Arial"/>
            <family val="2"/>
          </rPr>
          <t>Anzahl der Anlagen:</t>
        </r>
        <r>
          <rPr>
            <sz val="9"/>
            <color indexed="81"/>
            <rFont val="Arial"/>
            <family val="2"/>
          </rPr>
          <t xml:space="preserve">
Hier ist die Anzahl der Anlagen zu Typ 1 einzutragen. </t>
        </r>
      </text>
    </comment>
    <comment ref="N16" authorId="1" shapeId="0" xr:uid="{00000000-0006-0000-0300-00000D000000}">
      <text>
        <r>
          <rPr>
            <b/>
            <sz val="10"/>
            <color indexed="81"/>
            <rFont val="Tahoma"/>
            <family val="2"/>
          </rPr>
          <t xml:space="preserve">Hinweis: </t>
        </r>
        <r>
          <rPr>
            <sz val="10"/>
            <color indexed="81"/>
            <rFont val="Tahoma"/>
            <family val="2"/>
          </rPr>
          <t xml:space="preserve">Kaltwassertemperatur </t>
        </r>
        <r>
          <rPr>
            <sz val="8"/>
            <color indexed="81"/>
            <rFont val="Tahoma"/>
            <family val="2"/>
          </rPr>
          <t xml:space="preserve">
</t>
        </r>
      </text>
    </comment>
    <comment ref="Q16" authorId="1" shapeId="0" xr:uid="{00000000-0006-0000-0300-00000E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V16" authorId="3" shapeId="0" xr:uid="{00000000-0006-0000-0300-00000F000000}">
      <text>
        <r>
          <rPr>
            <b/>
            <sz val="9"/>
            <color indexed="81"/>
            <rFont val="Arial"/>
            <family val="2"/>
          </rPr>
          <t xml:space="preserve">Gebäudeeinstufung:
</t>
        </r>
        <r>
          <rPr>
            <sz val="9"/>
            <color indexed="81"/>
            <rFont val="Arial"/>
            <family val="2"/>
          </rPr>
          <t>Auswahl des Gebäude-/Versorgungstyps nach DIN 1988-300.</t>
        </r>
      </text>
    </comment>
    <comment ref="Q17" authorId="1" shapeId="0" xr:uid="{00000000-0006-0000-0300-000010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AA17" authorId="3" shapeId="0" xr:uid="{00000000-0006-0000-0300-000011000000}">
      <text>
        <r>
          <rPr>
            <b/>
            <sz val="9"/>
            <color indexed="81"/>
            <rFont val="Arial"/>
            <family val="2"/>
          </rPr>
          <t xml:space="preserve">Leistung Anlage Typ 1:
</t>
        </r>
        <r>
          <rPr>
            <sz val="9"/>
            <color indexed="81"/>
            <rFont val="Arial"/>
            <family val="2"/>
          </rPr>
          <t xml:space="preserve">Die Leistung bzw. der dafür maßgebliche Spitzenvolumenstrom wird in Abhängigkeit der Gebäudenutzung anhand der DIN 1988-300 berechnet. </t>
        </r>
      </text>
    </comment>
    <comment ref="D18" authorId="0" shapeId="0" xr:uid="{00000000-0006-0000-0300-000012000000}">
      <text>
        <r>
          <rPr>
            <b/>
            <sz val="9"/>
            <color indexed="81"/>
            <rFont val="Arial"/>
            <family val="2"/>
          </rPr>
          <t>erwarteter Nutzungszeitraum:</t>
        </r>
        <r>
          <rPr>
            <sz val="9"/>
            <color indexed="81"/>
            <rFont val="Arial"/>
            <family val="2"/>
          </rPr>
          <t xml:space="preserve">
Abhängig von der Gebäudenutzung sind Verbrauchszeiträume von 10 Min. - 45 Min. üblich.
Vorschlagswerte:
- U-Gebäude --&gt; 30 Min.
</t>
        </r>
      </text>
    </comment>
    <comment ref="Q18" authorId="1" shapeId="0" xr:uid="{00000000-0006-0000-0300-000013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AB18" authorId="2" shapeId="0" xr:uid="{00000000-0006-0000-0300-000014000000}">
      <text>
        <r>
          <rPr>
            <b/>
            <sz val="9"/>
            <color indexed="81"/>
            <rFont val="Arial"/>
            <family val="2"/>
          </rPr>
          <t xml:space="preserve">Auslastung:
</t>
        </r>
        <r>
          <rPr>
            <sz val="9"/>
            <color indexed="81"/>
            <rFont val="Arial"/>
            <family val="2"/>
          </rPr>
          <t xml:space="preserve">Die Auslastung bzw. Gleichzeitigkeit der Nutzung sämtlicher diesem Versorgungsbereich zugehöriger Entnahmestellen ergibt sich in Abhängigkeit der Gebäudenutzung anhand der DIN 1988-300. </t>
        </r>
        <r>
          <rPr>
            <sz val="8"/>
            <color indexed="81"/>
            <rFont val="Segoe UI"/>
            <family val="2"/>
          </rPr>
          <t xml:space="preserve">
</t>
        </r>
      </text>
    </comment>
    <comment ref="BO18" authorId="1" shapeId="0" xr:uid="{00000000-0006-0000-0300-000015000000}">
      <text>
        <r>
          <rPr>
            <sz val="11"/>
            <color indexed="81"/>
            <rFont val="Segoe UI"/>
            <family val="2"/>
          </rPr>
          <t xml:space="preserve">Kleinster Grenzwert für die Tabelle
</t>
        </r>
      </text>
    </comment>
    <comment ref="AK19" authorId="2" shapeId="0" xr:uid="{00000000-0006-0000-0300-000016000000}">
      <text>
        <r>
          <rPr>
            <b/>
            <sz val="9"/>
            <color indexed="81"/>
            <rFont val="Arial"/>
            <family val="2"/>
          </rPr>
          <t>Anzahl der Wärmetauscher:</t>
        </r>
        <r>
          <rPr>
            <sz val="9"/>
            <color indexed="81"/>
            <rFont val="Arial"/>
            <family val="2"/>
          </rPr>
          <t xml:space="preserve">
Diese Auswahl dient als Information zur technischen Ausführung der Anlage und geht in keine Berechnung ein!</t>
        </r>
      </text>
    </comment>
    <comment ref="G21" authorId="3" shapeId="0" xr:uid="{00000000-0006-0000-0300-000017000000}">
      <text>
        <r>
          <rPr>
            <b/>
            <sz val="9"/>
            <color indexed="81"/>
            <rFont val="Arial"/>
            <family val="2"/>
          </rPr>
          <t xml:space="preserve">Gebäudeeinstufung:
</t>
        </r>
        <r>
          <rPr>
            <sz val="9"/>
            <color indexed="81"/>
            <rFont val="Arial"/>
            <family val="2"/>
          </rPr>
          <t>Auswahl des Gebäude-/Versorgungstyps</t>
        </r>
        <r>
          <rPr>
            <b/>
            <sz val="9"/>
            <color indexed="81"/>
            <rFont val="Arial"/>
            <family val="2"/>
          </rPr>
          <t xml:space="preserve"> </t>
        </r>
        <r>
          <rPr>
            <sz val="9"/>
            <color indexed="81"/>
            <rFont val="Arial"/>
            <family val="2"/>
          </rPr>
          <t>nach DIN 1988-300.</t>
        </r>
      </text>
    </comment>
    <comment ref="AG21" authorId="2" shapeId="0" xr:uid="{00000000-0006-0000-0300-000018000000}">
      <text>
        <r>
          <rPr>
            <b/>
            <sz val="9"/>
            <color indexed="81"/>
            <rFont val="Arial"/>
            <family val="2"/>
          </rPr>
          <t>Versorgungsart bzw. Einsatzbereich:</t>
        </r>
        <r>
          <rPr>
            <sz val="9"/>
            <color indexed="81"/>
            <rFont val="Arial"/>
            <family val="2"/>
          </rPr>
          <t xml:space="preserve">
Diese Eingabe dient der allgemeinen Information und geht in keine Berechnung ein!</t>
        </r>
      </text>
    </comment>
    <comment ref="I23" authorId="1" shapeId="0" xr:uid="{00000000-0006-0000-0300-000019000000}">
      <text>
        <r>
          <rPr>
            <b/>
            <sz val="9"/>
            <color indexed="81"/>
            <rFont val="Arial"/>
            <family val="2"/>
          </rPr>
          <t>geplante WT-Leistung:</t>
        </r>
        <r>
          <rPr>
            <sz val="9"/>
            <color indexed="81"/>
            <rFont val="Arial"/>
            <family val="2"/>
          </rPr>
          <t xml:space="preserve">
Es ist die im Berechnungsschritt 2 "mögliche Leistung" soweit auszunutzen, dass auf der Trinkwarmwasserseite ein möglichst kleiner Speicher noch erforderlich ist, mit dem die Lastspitzen als auch Zirkulationsverluste abgedeckt werden können.</t>
        </r>
      </text>
    </comment>
    <comment ref="AA23" authorId="3" shapeId="0" xr:uid="{00000000-0006-0000-0300-00001A000000}">
      <text>
        <r>
          <rPr>
            <b/>
            <sz val="9"/>
            <color indexed="81"/>
            <rFont val="Arial"/>
            <family val="2"/>
          </rPr>
          <t>Leistung Anlage Typ 1</t>
        </r>
        <r>
          <rPr>
            <sz val="9"/>
            <color indexed="81"/>
            <rFont val="Arial"/>
            <family val="2"/>
          </rPr>
          <t xml:space="preserve">:
Die Leistung bzw. der dafür maßgebliche Spitzenvolumenstrom wird in Abhängigkeit der Gebäudenutzung anhand der DIN 1988-300 berechnet. </t>
        </r>
      </text>
    </comment>
    <comment ref="AB24" authorId="2" shapeId="0" xr:uid="{00000000-0006-0000-0300-00001B000000}">
      <text>
        <r>
          <rPr>
            <b/>
            <sz val="9"/>
            <color indexed="81"/>
            <rFont val="Arial"/>
            <family val="2"/>
          </rPr>
          <t>Auslastung:</t>
        </r>
        <r>
          <rPr>
            <sz val="8"/>
            <color indexed="81"/>
            <rFont val="Arial"/>
            <family val="2"/>
          </rPr>
          <t xml:space="preserve">
</t>
        </r>
        <r>
          <rPr>
            <sz val="9"/>
            <color indexed="81"/>
            <rFont val="Arial"/>
            <family val="2"/>
          </rPr>
          <t xml:space="preserve">Die Auslastung bzw. Gleichzeitigkeit der Nutzung sämtlicher diesem Versorgungsbereich zugehöriger Entnahmestellen ergibt sich in Abhängigkeit der Gebäudenutzung anhand der DIN 1988-300. </t>
        </r>
      </text>
    </comment>
    <comment ref="AK25" authorId="2" shapeId="0" xr:uid="{00000000-0006-0000-0300-00001C000000}">
      <text>
        <r>
          <rPr>
            <b/>
            <sz val="9"/>
            <color indexed="81"/>
            <rFont val="Arial"/>
            <family val="2"/>
          </rPr>
          <t xml:space="preserve">Anzahl der Wärmetauscher:
</t>
        </r>
        <r>
          <rPr>
            <sz val="9"/>
            <color indexed="81"/>
            <rFont val="Arial"/>
            <family val="2"/>
          </rPr>
          <t xml:space="preserve">Diese Auswahl dient als Information zur technischen Ausführung der Anlage und geht in keine Berechnung ein!
</t>
        </r>
      </text>
    </comment>
    <comment ref="P26" authorId="2" shapeId="0" xr:uid="{00000000-0006-0000-0300-00001D000000}">
      <text>
        <r>
          <rPr>
            <b/>
            <sz val="9"/>
            <color indexed="81"/>
            <rFont val="Arial"/>
            <family val="2"/>
          </rPr>
          <t>erforderliche Speichergröße:</t>
        </r>
        <r>
          <rPr>
            <sz val="9"/>
            <color indexed="81"/>
            <rFont val="Arial"/>
            <family val="2"/>
          </rPr>
          <t xml:space="preserve">
Diese Speichermenge an PWH ist zusätzlich erforderlich, um mit der geplanten WT-Leistung den erforderlichen PWH-Wasserbedarf innerhalb des erwarteten Nutzungszeitraumes abzudecken.</t>
        </r>
      </text>
    </comment>
    <comment ref="P27" authorId="3" shapeId="0" xr:uid="{00000000-0006-0000-0300-00001E000000}">
      <text>
        <r>
          <rPr>
            <b/>
            <sz val="9"/>
            <color indexed="81"/>
            <rFont val="Arial"/>
            <family val="2"/>
          </rPr>
          <t xml:space="preserve">Speichergröße geplant:
</t>
        </r>
        <r>
          <rPr>
            <sz val="9"/>
            <color indexed="81"/>
            <rFont val="Arial"/>
            <family val="2"/>
          </rPr>
          <t>Als Speichergröße ist ein Volumen von 200 l / 300 l / 400 l zu wählen. In Ausnahmefällen sind 2 x 300 l oder 2 x 400 l möglich.</t>
        </r>
      </text>
    </comment>
    <comment ref="P28" authorId="3" shapeId="0" xr:uid="{00000000-0006-0000-0300-00001F000000}">
      <text>
        <r>
          <rPr>
            <b/>
            <sz val="9"/>
            <color indexed="81"/>
            <rFont val="Arial"/>
            <family val="2"/>
          </rPr>
          <t xml:space="preserve">Leistungsuntzerdeckung:
</t>
        </r>
        <r>
          <rPr>
            <sz val="9"/>
            <color indexed="81"/>
            <rFont val="Arial"/>
            <family val="2"/>
          </rPr>
          <t>Hier wird die Leistungsdifferenz zwischen</t>
        </r>
        <r>
          <rPr>
            <u/>
            <sz val="9"/>
            <color indexed="81"/>
            <rFont val="Arial"/>
            <family val="2"/>
          </rPr>
          <t xml:space="preserve"> erforderlicher Wärmeleistung</t>
        </r>
        <r>
          <rPr>
            <sz val="9"/>
            <color indexed="81"/>
            <rFont val="Arial"/>
            <family val="2"/>
          </rPr>
          <t xml:space="preserve"> und </t>
        </r>
        <r>
          <rPr>
            <u/>
            <sz val="9"/>
            <color indexed="81"/>
            <rFont val="Arial"/>
            <family val="2"/>
          </rPr>
          <t xml:space="preserve">geplanter WT-Leistung </t>
        </r>
        <r>
          <rPr>
            <sz val="9"/>
            <color indexed="81"/>
            <rFont val="Arial"/>
            <family val="2"/>
          </rPr>
          <t>ausgewiesen.</t>
        </r>
      </text>
    </comment>
    <comment ref="BC28" authorId="1" shapeId="0" xr:uid="{00000000-0006-0000-0300-000020000000}">
      <text>
        <r>
          <rPr>
            <sz val="8"/>
            <color indexed="81"/>
            <rFont val="Tahoma"/>
            <family val="2"/>
          </rPr>
          <t>Engabe der Vorlauftemperatur, mit der die TW-Erwärmungsanlage betrieben werden soll. Für ein Speicherladesystem und einem Frischwassersystem mit Zirkulationsbetrieb, sind hier 70°C erforderlich. Für ein Frischwassersystem ohne Zirkulationsbetrieb kann 60°C 
( Temperaturen &lt; 60 °C ????) 
angenommen werden.</t>
        </r>
      </text>
    </comment>
    <comment ref="BF28" authorId="1" shapeId="0" xr:uid="{00000000-0006-0000-0300-000021000000}">
      <text>
        <r>
          <rPr>
            <sz val="8"/>
            <color indexed="81"/>
            <rFont val="Tahoma"/>
            <family val="2"/>
          </rPr>
          <t>Für ein Speicherladesystem ist die Rücklauftemperatur so zu wählen, dass eine Spreizung von mindestens 30K, besser noch 40K realisiert wird.</t>
        </r>
      </text>
    </comment>
    <comment ref="P29" authorId="3" shapeId="0" xr:uid="{00000000-0006-0000-0300-000022000000}">
      <text>
        <r>
          <rPr>
            <b/>
            <sz val="9"/>
            <color indexed="81"/>
            <rFont val="Segoe UI"/>
            <family val="2"/>
          </rPr>
          <t xml:space="preserve">Durchhaltezeit des Speichers:
</t>
        </r>
        <r>
          <rPr>
            <sz val="9"/>
            <color indexed="81"/>
            <rFont val="Segoe UI"/>
            <family val="2"/>
          </rPr>
          <t>Hier wird das Wasservolumen des geplanten Speichers durch den Durchfluss der "Leistungsunterdeckung" geteilt.
Die Durchhaltezeit des Speichers sollte mindestens 5 Minuten betragen.</t>
        </r>
      </text>
    </comment>
    <comment ref="AH33" authorId="2" shapeId="0" xr:uid="{00000000-0006-0000-0300-000023000000}">
      <text>
        <r>
          <rPr>
            <b/>
            <sz val="9"/>
            <color indexed="81"/>
            <rFont val="Arial"/>
            <family val="2"/>
          </rPr>
          <t>WT-Heizwasserdurchsatz bei Vollast:</t>
        </r>
        <r>
          <rPr>
            <sz val="9"/>
            <color indexed="81"/>
            <rFont val="Arial"/>
            <family val="2"/>
          </rPr>
          <t xml:space="preserve">
Die Eingabe muss so gewählt werden, dass die Gleichzeitigkeit von angeschlossenen Anlagen berücksichtigt wird. </t>
        </r>
      </text>
    </comment>
    <comment ref="V34" authorId="2" shapeId="0" xr:uid="{00000000-0006-0000-0300-000024000000}">
      <text>
        <r>
          <rPr>
            <sz val="8"/>
            <color indexed="81"/>
            <rFont val="Segoe UI"/>
            <family val="2"/>
          </rPr>
          <t xml:space="preserve">Diese Menge wird bei Volllast aus dem Speicher entmommen. Es ist die Differenz zwischen dem Durchfluss der möglichen Leistung (Zelle AD10) und dem Vollastdurchsatz (AK33)
</t>
        </r>
      </text>
    </comment>
    <comment ref="AH34" authorId="2" shapeId="0" xr:uid="{00000000-0006-0000-0300-000025000000}">
      <text>
        <r>
          <rPr>
            <b/>
            <sz val="9"/>
            <color indexed="81"/>
            <rFont val="Arial"/>
            <family val="2"/>
          </rPr>
          <t>WT-Heizwasserdurchsatz aus dem Speicher:</t>
        </r>
        <r>
          <rPr>
            <sz val="9"/>
            <color indexed="81"/>
            <rFont val="Arial"/>
            <family val="2"/>
          </rPr>
          <t xml:space="preserve">
Es ist ein zu erwartender Spitzenlastzeitraum von 5 Min. bis 10 Min. einzutragen.
Vorschlagswert: 5 Min. </t>
        </r>
      </text>
    </comment>
    <comment ref="AD36" authorId="2" shapeId="0" xr:uid="{00000000-0006-0000-0300-000026000000}">
      <text>
        <r>
          <rPr>
            <b/>
            <sz val="9"/>
            <color indexed="81"/>
            <rFont val="Arial"/>
            <family val="2"/>
          </rPr>
          <t>Speicherinhalt, geplant:</t>
        </r>
        <r>
          <rPr>
            <sz val="9"/>
            <color indexed="81"/>
            <rFont val="Arial"/>
            <family val="2"/>
          </rPr>
          <t xml:space="preserve">
In der Regel ist seitens der Hersteller von FWS der Einsatz eines Speicher zur hydraulischen Trennung vorzusehen. Zur hydraulischen Trennung ist ein Mindestvolumen von 200 l erforderlich.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060borchert</author>
    <author>060Exner</author>
    <author>Exner Adolf (BLB MS)</author>
    <author>Borchert Antonius (BLB MS)</author>
  </authors>
  <commentList>
    <comment ref="G6" authorId="0" shapeId="0" xr:uid="{00000000-0006-0000-0400-000001000000}">
      <text>
        <r>
          <rPr>
            <b/>
            <sz val="9"/>
            <color indexed="81"/>
            <rFont val="Arial"/>
            <family val="2"/>
          </rPr>
          <t>Belegungsstärke:</t>
        </r>
        <r>
          <rPr>
            <sz val="9"/>
            <color indexed="81"/>
            <rFont val="Arial"/>
            <family val="2"/>
          </rPr>
          <t xml:space="preserve">
Es ist eine mit dem Nutzer abzustimmende Anzahl an Personen einzutragen, die das Gebäude regelmäßig belegen, sodass ein bestimmungsgemäßer Betrieb nach VDI 6023 (Wasseraustauch innerhalb 72 h) gewährleistet werden kann. 
</t>
        </r>
      </text>
    </comment>
    <comment ref="AD7" authorId="1" shapeId="0" xr:uid="{00000000-0006-0000-0400-000002000000}">
      <text>
        <r>
          <rPr>
            <b/>
            <sz val="9"/>
            <color indexed="81"/>
            <rFont val="Arial"/>
            <family val="2"/>
          </rPr>
          <t xml:space="preserve">Gebäudeanschlussleistung:
</t>
        </r>
        <r>
          <rPr>
            <sz val="9"/>
            <color indexed="81"/>
            <rFont val="Arial"/>
            <family val="2"/>
          </rPr>
          <t>Es ist die wirklich erforderliche Gebäudeanschlussleistung einzutragen. Alte Werte sind hinsichtlich zwischenzeitlich erfolgter energetischer Sanierungen zu überprüfen und bei Erfordernis zu aktualisieren.</t>
        </r>
      </text>
    </comment>
    <comment ref="AM7" authorId="1" shapeId="0" xr:uid="{00000000-0006-0000-0400-000003000000}">
      <text>
        <r>
          <rPr>
            <sz val="9"/>
            <color indexed="81"/>
            <rFont val="Arial"/>
            <family val="2"/>
          </rPr>
          <t>Eingabe der max. möglichen Vorlauftemperatur im Winter (=Auslegungsfall).</t>
        </r>
      </text>
    </comment>
    <comment ref="AP7" authorId="1" shapeId="0" xr:uid="{00000000-0006-0000-0400-000004000000}">
      <text>
        <r>
          <rPr>
            <sz val="9"/>
            <color indexed="81"/>
            <rFont val="Arial"/>
            <family val="2"/>
          </rPr>
          <t xml:space="preserve">Eingabe der aus den Gebäude-heizkreisen unter Berücksichtigung der Gleichzeitigkeit zur erwartende Rücklaufmischtemperatur. </t>
        </r>
        <r>
          <rPr>
            <b/>
            <sz val="8"/>
            <color indexed="81"/>
            <rFont val="Tahoma"/>
            <family val="2"/>
          </rPr>
          <t xml:space="preserve">
</t>
        </r>
      </text>
    </comment>
    <comment ref="AD8" authorId="1" shapeId="0" xr:uid="{00000000-0006-0000-0400-000005000000}">
      <text>
        <r>
          <rPr>
            <b/>
            <sz val="9"/>
            <color indexed="81"/>
            <rFont val="Arial"/>
            <family val="2"/>
          </rPr>
          <t>Gebäudedurchfluss eingestellt:</t>
        </r>
        <r>
          <rPr>
            <sz val="9"/>
            <color indexed="81"/>
            <rFont val="Arial"/>
            <family val="2"/>
          </rPr>
          <t xml:space="preserve">
Berechnung des für das Gebäude am Mengen- u. 
Differenzdruckregler einzustellenden maximal zulässigen Volumenstroms.</t>
        </r>
      </text>
    </comment>
    <comment ref="AM8" authorId="0" shapeId="0" xr:uid="{00000000-0006-0000-0400-000006000000}">
      <text>
        <r>
          <rPr>
            <sz val="9"/>
            <color indexed="81"/>
            <rFont val="Arial"/>
            <family val="2"/>
          </rPr>
          <t>Eingabe der Vorlauftemperatur in den Sommermonaten.</t>
        </r>
      </text>
    </comment>
    <comment ref="AM9" authorId="1" shapeId="0" xr:uid="{00000000-0006-0000-0400-000007000000}">
      <text>
        <r>
          <rPr>
            <b/>
            <sz val="9"/>
            <color indexed="81"/>
            <rFont val="Arial"/>
            <family val="2"/>
          </rPr>
          <t xml:space="preserve">Heizkreis-Vorlauftemperatur tV:
</t>
        </r>
        <r>
          <rPr>
            <sz val="9"/>
            <color indexed="81"/>
            <rFont val="Arial"/>
            <family val="2"/>
          </rPr>
          <t xml:space="preserve">Für ein Speicherlade- sowie Frischwassersystem </t>
        </r>
        <r>
          <rPr>
            <b/>
            <sz val="9"/>
            <color indexed="81"/>
            <rFont val="Arial"/>
            <family val="2"/>
          </rPr>
          <t>mit Zirkulationsbetrieb</t>
        </r>
        <r>
          <rPr>
            <sz val="9"/>
            <color indexed="81"/>
            <rFont val="Arial"/>
            <family val="2"/>
          </rPr>
          <t xml:space="preserve">, sind </t>
        </r>
        <r>
          <rPr>
            <b/>
            <sz val="9"/>
            <color indexed="81"/>
            <rFont val="Arial"/>
            <family val="2"/>
          </rPr>
          <t>70°C</t>
        </r>
        <r>
          <rPr>
            <sz val="9"/>
            <color indexed="81"/>
            <rFont val="Arial"/>
            <family val="2"/>
          </rPr>
          <t xml:space="preserve"> erforderlich. 
Für ein Frischwassersystem ohne Zirkulationsbetrieb kann 60°C angenommen werden.</t>
        </r>
      </text>
    </comment>
    <comment ref="AP9" authorId="1" shapeId="0" xr:uid="{00000000-0006-0000-0400-000008000000}">
      <text>
        <r>
          <rPr>
            <b/>
            <sz val="9"/>
            <color indexed="81"/>
            <rFont val="Arial"/>
            <family val="2"/>
          </rPr>
          <t xml:space="preserve">Heizkreis-Rücklauftemperatur tR:
</t>
        </r>
        <r>
          <rPr>
            <sz val="9"/>
            <color indexed="81"/>
            <rFont val="Arial"/>
            <family val="2"/>
          </rPr>
          <t xml:space="preserve">Für ein Speicherladesystem ist die Rücklauftemperatur so zu wählen, dass eine Spreizung von </t>
        </r>
        <r>
          <rPr>
            <b/>
            <sz val="9"/>
            <color indexed="81"/>
            <rFont val="Arial"/>
            <family val="2"/>
          </rPr>
          <t>mindestens 30K</t>
        </r>
        <r>
          <rPr>
            <sz val="9"/>
            <color indexed="81"/>
            <rFont val="Arial"/>
            <family val="2"/>
          </rPr>
          <t>, besser noch größer nutzbar ist.</t>
        </r>
      </text>
    </comment>
    <comment ref="AD10" authorId="0" shapeId="0" xr:uid="{00000000-0006-0000-0400-000009000000}">
      <text>
        <r>
          <rPr>
            <b/>
            <sz val="9"/>
            <color indexed="81"/>
            <rFont val="Arial"/>
            <family val="2"/>
          </rPr>
          <t>Heizkreis "Trinkwasser-Erwärmung" - Durchfluss:</t>
        </r>
        <r>
          <rPr>
            <sz val="9"/>
            <color indexed="81"/>
            <rFont val="Arial"/>
            <family val="2"/>
          </rPr>
          <t xml:space="preserve">
Hier ist der nutzbare Durchfluss für den Heizkreis der Trinkwassererwärmung einzutragen. Dieser ergibt sich aus dem eingestellten Durchfluss am Gebäudeanschluss (Zelle AD8) abzüglich eines Durchflussanteils, der für nicht abschaltbarte Anlagen (z.B. Duschraumbelüftung) erforderlich ist. 
Andere Heizkreise unterliegen der Vorrangschaltung.</t>
        </r>
      </text>
    </comment>
    <comment ref="AD11" authorId="1" shapeId="0" xr:uid="{00000000-0006-0000-0400-00000A000000}">
      <text>
        <r>
          <rPr>
            <b/>
            <sz val="9"/>
            <color indexed="81"/>
            <rFont val="Arial"/>
            <family val="2"/>
          </rPr>
          <t>Heizkreis "Trinkwasser-Erwärmung" - mögliche Leistung:</t>
        </r>
        <r>
          <rPr>
            <sz val="9"/>
            <color indexed="81"/>
            <rFont val="Arial"/>
            <family val="2"/>
          </rPr>
          <t xml:space="preserve">
Die Leistung bezieht sich auf die Heizkreisrücklauf-  und die von der Heizwasser-Wärmeübergabe anstehende Vorlauftemperatur.</t>
        </r>
      </text>
    </comment>
    <comment ref="AG15" authorId="2" shapeId="0" xr:uid="{00000000-0006-0000-0400-00000B000000}">
      <text>
        <r>
          <rPr>
            <b/>
            <sz val="9"/>
            <color indexed="81"/>
            <rFont val="Arial"/>
            <family val="2"/>
          </rPr>
          <t>Versorgungsart bzw. Einsatzbereich:</t>
        </r>
        <r>
          <rPr>
            <sz val="9"/>
            <color indexed="81"/>
            <rFont val="Arial"/>
            <family val="2"/>
          </rPr>
          <t xml:space="preserve">
Diese Eingabe dient der allgemeinen Information und geht in keine Berechnung ein!</t>
        </r>
      </text>
    </comment>
    <comment ref="AQ15" authorId="2" shapeId="0" xr:uid="{00000000-0006-0000-0400-00000C000000}">
      <text>
        <r>
          <rPr>
            <b/>
            <sz val="9"/>
            <color indexed="81"/>
            <rFont val="Arial"/>
            <family val="2"/>
          </rPr>
          <t>Anzahl der Anlagen:</t>
        </r>
        <r>
          <rPr>
            <sz val="9"/>
            <color indexed="81"/>
            <rFont val="Arial"/>
            <family val="2"/>
          </rPr>
          <t xml:space="preserve">
Hier ist die Anzahl der Anlagen zu Typ 1 einzutragen. </t>
        </r>
      </text>
    </comment>
    <comment ref="N16" authorId="1" shapeId="0" xr:uid="{00000000-0006-0000-0400-00000D000000}">
      <text>
        <r>
          <rPr>
            <b/>
            <sz val="10"/>
            <color indexed="81"/>
            <rFont val="Tahoma"/>
            <family val="2"/>
          </rPr>
          <t xml:space="preserve">Hinweis: </t>
        </r>
        <r>
          <rPr>
            <sz val="10"/>
            <color indexed="81"/>
            <rFont val="Tahoma"/>
            <family val="2"/>
          </rPr>
          <t xml:space="preserve">Kaltwassertemperatur </t>
        </r>
        <r>
          <rPr>
            <sz val="8"/>
            <color indexed="81"/>
            <rFont val="Tahoma"/>
            <family val="2"/>
          </rPr>
          <t xml:space="preserve">
</t>
        </r>
      </text>
    </comment>
    <comment ref="Q16" authorId="1" shapeId="0" xr:uid="{00000000-0006-0000-0400-00000E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V16" authorId="3" shapeId="0" xr:uid="{00000000-0006-0000-0400-00000F000000}">
      <text>
        <r>
          <rPr>
            <b/>
            <sz val="9"/>
            <color indexed="81"/>
            <rFont val="Arial"/>
            <family val="2"/>
          </rPr>
          <t xml:space="preserve">Gebäudeeinstufung:
</t>
        </r>
        <r>
          <rPr>
            <sz val="9"/>
            <color indexed="81"/>
            <rFont val="Arial"/>
            <family val="2"/>
          </rPr>
          <t>Auswahl des Gebäude-/Versorgungstyps nach DIN 1988-300.</t>
        </r>
      </text>
    </comment>
    <comment ref="Q17" authorId="1" shapeId="0" xr:uid="{00000000-0006-0000-0400-000010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AA17" authorId="3" shapeId="0" xr:uid="{00000000-0006-0000-0400-000011000000}">
      <text>
        <r>
          <rPr>
            <b/>
            <sz val="9"/>
            <color indexed="81"/>
            <rFont val="Arial"/>
            <family val="2"/>
          </rPr>
          <t xml:space="preserve">Leistung Anlage Typ 1:
</t>
        </r>
        <r>
          <rPr>
            <sz val="9"/>
            <color indexed="81"/>
            <rFont val="Arial"/>
            <family val="2"/>
          </rPr>
          <t xml:space="preserve">Die Leistung bzw. der dafür maßgebliche Spitzenvolumenstrom wird in Abhängigkeit der Gebäudenutzung anhand der DIN 1988-300 berechnet. </t>
        </r>
      </text>
    </comment>
    <comment ref="D18" authorId="0" shapeId="0" xr:uid="{00000000-0006-0000-0400-000012000000}">
      <text>
        <r>
          <rPr>
            <b/>
            <sz val="9"/>
            <color indexed="81"/>
            <rFont val="Arial"/>
            <family val="2"/>
          </rPr>
          <t>erwarteter Nutzungszeitraum:</t>
        </r>
        <r>
          <rPr>
            <sz val="9"/>
            <color indexed="81"/>
            <rFont val="Arial"/>
            <family val="2"/>
          </rPr>
          <t xml:space="preserve">
Abhängig von der Gebäudenutzung sind Verbrauchszeiträume von 10 Min. - 45 Min. üblich.
Vorschlagswerte:
- U-Gebäude --&gt; 30 Min.
</t>
        </r>
      </text>
    </comment>
    <comment ref="Q18" authorId="1" shapeId="0" xr:uid="{00000000-0006-0000-0400-000013000000}">
      <text>
        <r>
          <rPr>
            <b/>
            <sz val="8"/>
            <color indexed="81"/>
            <rFont val="Tahoma"/>
            <family val="2"/>
          </rPr>
          <t xml:space="preserve">Hinweis: 
</t>
        </r>
        <r>
          <rPr>
            <sz val="8"/>
            <color indexed="81"/>
            <rFont val="Tahoma"/>
            <family val="2"/>
          </rPr>
          <t xml:space="preserve">Nur bei einem System in der die "3 l-Regel" nach DVGW-Bl. 551 eingehalten werden kann, kann die TWW-Temperatur &lt; 60°C gewählt werden.Wird mit einem Zirkulationssystem gerechnet, ist in jedem Fall 60°C zu wählen! </t>
        </r>
        <r>
          <rPr>
            <b/>
            <sz val="8"/>
            <color indexed="81"/>
            <rFont val="Tahoma"/>
            <family val="2"/>
          </rPr>
          <t xml:space="preserve"> 
</t>
        </r>
        <r>
          <rPr>
            <sz val="8"/>
            <color indexed="81"/>
            <rFont val="Tahoma"/>
            <family val="2"/>
          </rPr>
          <t>(Warmwasseraustrittstemperatur aus dem Trinkwassererwärmer)</t>
        </r>
      </text>
    </comment>
    <comment ref="AB18" authorId="2" shapeId="0" xr:uid="{00000000-0006-0000-0400-000014000000}">
      <text>
        <r>
          <rPr>
            <b/>
            <sz val="9"/>
            <color indexed="81"/>
            <rFont val="Arial"/>
            <family val="2"/>
          </rPr>
          <t xml:space="preserve">Auslastung:
</t>
        </r>
        <r>
          <rPr>
            <sz val="9"/>
            <color indexed="81"/>
            <rFont val="Arial"/>
            <family val="2"/>
          </rPr>
          <t xml:space="preserve">Die Auslastung bzw. Gleichzeitigkeit der Nutzung sämtlicher diesem Versorgungsbereich zugehöriger Entnahmestellen ergibt sich in Abhängigkeit der Gebäudenutzung anhand der DIN 1988-300. </t>
        </r>
        <r>
          <rPr>
            <sz val="8"/>
            <color indexed="81"/>
            <rFont val="Segoe UI"/>
            <family val="2"/>
          </rPr>
          <t xml:space="preserve">
</t>
        </r>
      </text>
    </comment>
    <comment ref="BO18" authorId="1" shapeId="0" xr:uid="{00000000-0006-0000-0400-000015000000}">
      <text>
        <r>
          <rPr>
            <sz val="11"/>
            <color indexed="81"/>
            <rFont val="Segoe UI"/>
            <family val="2"/>
          </rPr>
          <t xml:space="preserve">Kleinster Grenzwert für die Tabelle
</t>
        </r>
      </text>
    </comment>
    <comment ref="AK19" authorId="2" shapeId="0" xr:uid="{00000000-0006-0000-0400-000016000000}">
      <text>
        <r>
          <rPr>
            <b/>
            <sz val="9"/>
            <color indexed="81"/>
            <rFont val="Arial"/>
            <family val="2"/>
          </rPr>
          <t>Anzahl der Wärmetauscher:</t>
        </r>
        <r>
          <rPr>
            <sz val="9"/>
            <color indexed="81"/>
            <rFont val="Arial"/>
            <family val="2"/>
          </rPr>
          <t xml:space="preserve">
Diese Auswahl dient als Information zur technischen Ausführung der Anlage und geht in keine Berechnung ein!</t>
        </r>
      </text>
    </comment>
    <comment ref="G21" authorId="3" shapeId="0" xr:uid="{00000000-0006-0000-0400-000017000000}">
      <text>
        <r>
          <rPr>
            <b/>
            <sz val="9"/>
            <color indexed="81"/>
            <rFont val="Arial"/>
            <family val="2"/>
          </rPr>
          <t xml:space="preserve">Gebäudeeinstufung:
</t>
        </r>
        <r>
          <rPr>
            <sz val="9"/>
            <color indexed="81"/>
            <rFont val="Arial"/>
            <family val="2"/>
          </rPr>
          <t>Auswahl des Gebäude-/Versorgungstyps</t>
        </r>
        <r>
          <rPr>
            <b/>
            <sz val="9"/>
            <color indexed="81"/>
            <rFont val="Arial"/>
            <family val="2"/>
          </rPr>
          <t xml:space="preserve"> </t>
        </r>
        <r>
          <rPr>
            <sz val="9"/>
            <color indexed="81"/>
            <rFont val="Arial"/>
            <family val="2"/>
          </rPr>
          <t>nach DIN 1988-300.</t>
        </r>
      </text>
    </comment>
    <comment ref="AG21" authorId="2" shapeId="0" xr:uid="{00000000-0006-0000-0400-000018000000}">
      <text>
        <r>
          <rPr>
            <b/>
            <sz val="9"/>
            <color indexed="81"/>
            <rFont val="Arial"/>
            <family val="2"/>
          </rPr>
          <t>Versorgungsart bzw. Einsatzbereich:</t>
        </r>
        <r>
          <rPr>
            <sz val="9"/>
            <color indexed="81"/>
            <rFont val="Arial"/>
            <family val="2"/>
          </rPr>
          <t xml:space="preserve">
Diese Eingabe dient der allgemeinen Information und geht in keine Berechnung ein!</t>
        </r>
      </text>
    </comment>
    <comment ref="I23" authorId="1" shapeId="0" xr:uid="{00000000-0006-0000-0400-000019000000}">
      <text>
        <r>
          <rPr>
            <b/>
            <sz val="9"/>
            <color indexed="81"/>
            <rFont val="Arial"/>
            <family val="2"/>
          </rPr>
          <t>geplante WT-Leistung:</t>
        </r>
        <r>
          <rPr>
            <sz val="9"/>
            <color indexed="81"/>
            <rFont val="Arial"/>
            <family val="2"/>
          </rPr>
          <t xml:space="preserve">
Es ist die im Berechnungsschritt 2 "mögliche Leistung" soweit auszunutzen, dass auf der Trinkwarmwasserseite ein möglichst kleiner Speicher noch erforderlich ist, mit dem die Lastspitzen als auch Zirkulationsverluste abgedeckt werden können.</t>
        </r>
      </text>
    </comment>
    <comment ref="AA23" authorId="3" shapeId="0" xr:uid="{00000000-0006-0000-0400-00001A000000}">
      <text>
        <r>
          <rPr>
            <b/>
            <sz val="9"/>
            <color indexed="81"/>
            <rFont val="Arial"/>
            <family val="2"/>
          </rPr>
          <t>Leistung Anlage Typ 1</t>
        </r>
        <r>
          <rPr>
            <sz val="9"/>
            <color indexed="81"/>
            <rFont val="Arial"/>
            <family val="2"/>
          </rPr>
          <t xml:space="preserve">:
Die Leistung bzw. der dafür maßgebliche Spitzenvolumenstrom wird in Abhängigkeit der Gebäudenutzung anhand der DIN 1988-300 berechnet. </t>
        </r>
      </text>
    </comment>
    <comment ref="AB24" authorId="2" shapeId="0" xr:uid="{00000000-0006-0000-0400-00001B000000}">
      <text>
        <r>
          <rPr>
            <b/>
            <sz val="9"/>
            <color indexed="81"/>
            <rFont val="Arial"/>
            <family val="2"/>
          </rPr>
          <t>Auslastung:</t>
        </r>
        <r>
          <rPr>
            <sz val="8"/>
            <color indexed="81"/>
            <rFont val="Arial"/>
            <family val="2"/>
          </rPr>
          <t xml:space="preserve">
</t>
        </r>
        <r>
          <rPr>
            <sz val="9"/>
            <color indexed="81"/>
            <rFont val="Arial"/>
            <family val="2"/>
          </rPr>
          <t xml:space="preserve">Die Auslastung bzw. Gleichzeitigkeit der Nutzung sämtlicher diesem Versorgungsbereich zugehöriger Entnahmestellen ergibt sich in Abhängigkeit der Gebäudenutzung anhand der DIN 1988-300. </t>
        </r>
      </text>
    </comment>
    <comment ref="AK25" authorId="2" shapeId="0" xr:uid="{00000000-0006-0000-0400-00001C000000}">
      <text>
        <r>
          <rPr>
            <b/>
            <sz val="9"/>
            <color indexed="81"/>
            <rFont val="Arial"/>
            <family val="2"/>
          </rPr>
          <t xml:space="preserve">Anzahl der Wärmetauscher:
</t>
        </r>
        <r>
          <rPr>
            <sz val="9"/>
            <color indexed="81"/>
            <rFont val="Arial"/>
            <family val="2"/>
          </rPr>
          <t xml:space="preserve">Diese Auswahl dient als Information zur technischen Ausführung der Anlage und geht in keine Berechnung ein!
</t>
        </r>
      </text>
    </comment>
    <comment ref="P26" authorId="2" shapeId="0" xr:uid="{00000000-0006-0000-0400-00001D000000}">
      <text>
        <r>
          <rPr>
            <b/>
            <sz val="9"/>
            <color indexed="81"/>
            <rFont val="Arial"/>
            <family val="2"/>
          </rPr>
          <t>erforderliche Speichergröße:</t>
        </r>
        <r>
          <rPr>
            <sz val="9"/>
            <color indexed="81"/>
            <rFont val="Arial"/>
            <family val="2"/>
          </rPr>
          <t xml:space="preserve">
Diese Speichermenge an PWH ist zusätzlich erforderlich, um mit der geplanten WT-Leistung den erforderlichen PWH-Wasserbedarf innerhalb des erwarteten Nutzungszeitraumes abzudecken.</t>
        </r>
      </text>
    </comment>
    <comment ref="P27" authorId="3" shapeId="0" xr:uid="{00000000-0006-0000-0400-00001E000000}">
      <text>
        <r>
          <rPr>
            <b/>
            <sz val="9"/>
            <color indexed="81"/>
            <rFont val="Arial"/>
            <family val="2"/>
          </rPr>
          <t xml:space="preserve">Speichergröße geplant:
</t>
        </r>
        <r>
          <rPr>
            <sz val="9"/>
            <color indexed="81"/>
            <rFont val="Arial"/>
            <family val="2"/>
          </rPr>
          <t>Als Speichergröße ist ein Volumen von 200 l / 300 l / 400 l zu wählen. In Ausnahmefällen sind 2 x 300 l oder 2 x 400 l möglich.</t>
        </r>
      </text>
    </comment>
    <comment ref="P28" authorId="3" shapeId="0" xr:uid="{00000000-0006-0000-0400-00001F000000}">
      <text>
        <r>
          <rPr>
            <b/>
            <sz val="9"/>
            <color indexed="81"/>
            <rFont val="Arial"/>
            <family val="2"/>
          </rPr>
          <t xml:space="preserve">Leistungsuntzerdeckung:
</t>
        </r>
        <r>
          <rPr>
            <sz val="9"/>
            <color indexed="81"/>
            <rFont val="Arial"/>
            <family val="2"/>
          </rPr>
          <t>Hier wird die Leistungsdifferenz zwischen</t>
        </r>
        <r>
          <rPr>
            <u/>
            <sz val="9"/>
            <color indexed="81"/>
            <rFont val="Arial"/>
            <family val="2"/>
          </rPr>
          <t xml:space="preserve"> erforderlicher Wärmeleistung</t>
        </r>
        <r>
          <rPr>
            <sz val="9"/>
            <color indexed="81"/>
            <rFont val="Arial"/>
            <family val="2"/>
          </rPr>
          <t xml:space="preserve"> und </t>
        </r>
        <r>
          <rPr>
            <u/>
            <sz val="9"/>
            <color indexed="81"/>
            <rFont val="Arial"/>
            <family val="2"/>
          </rPr>
          <t xml:space="preserve">geplanter WT-Leistung </t>
        </r>
        <r>
          <rPr>
            <sz val="9"/>
            <color indexed="81"/>
            <rFont val="Arial"/>
            <family val="2"/>
          </rPr>
          <t>ausgewiesen.</t>
        </r>
      </text>
    </comment>
    <comment ref="BC28" authorId="1" shapeId="0" xr:uid="{00000000-0006-0000-0400-000020000000}">
      <text>
        <r>
          <rPr>
            <sz val="8"/>
            <color indexed="81"/>
            <rFont val="Tahoma"/>
            <family val="2"/>
          </rPr>
          <t>Engabe der Vorlauftemperatur, mit der die TW-Erwärmungsanlage betrieben werden soll. Für ein Speicherladesystem und einem Frischwassersystem mit Zirkulationsbetrieb, sind hier 70°C erforderlich. Für ein Frischwassersystem ohne Zirkulationsbetrieb kann 60°C 
( Temperaturen &lt; 60 °C ????) 
angenommen werden.</t>
        </r>
      </text>
    </comment>
    <comment ref="BF28" authorId="1" shapeId="0" xr:uid="{00000000-0006-0000-0400-000021000000}">
      <text>
        <r>
          <rPr>
            <sz val="8"/>
            <color indexed="81"/>
            <rFont val="Tahoma"/>
            <family val="2"/>
          </rPr>
          <t>Für ein Speicherladesystem ist die Rücklauftemperatur so zu wählen, dass eine Spreizung von mindestens 30K, besser noch 40K realisiert wird.</t>
        </r>
      </text>
    </comment>
    <comment ref="P29" authorId="3" shapeId="0" xr:uid="{00000000-0006-0000-0400-000022000000}">
      <text>
        <r>
          <rPr>
            <b/>
            <sz val="9"/>
            <color indexed="81"/>
            <rFont val="Segoe UI"/>
            <family val="2"/>
          </rPr>
          <t xml:space="preserve">Durchhaltezeit des Speichers:
</t>
        </r>
        <r>
          <rPr>
            <sz val="9"/>
            <color indexed="81"/>
            <rFont val="Segoe UI"/>
            <family val="2"/>
          </rPr>
          <t>Hier wird das Wasservolumen des geplanten Speichers durch den Durchfluss der "Leistungsunterdeckung" geteilt.
Die Durchhaltezeit des Speichers sollte mindestens 5 Minuten betragen.</t>
        </r>
      </text>
    </comment>
    <comment ref="AH33" authorId="2" shapeId="0" xr:uid="{00000000-0006-0000-0400-000023000000}">
      <text>
        <r>
          <rPr>
            <b/>
            <sz val="9"/>
            <color indexed="81"/>
            <rFont val="Arial"/>
            <family val="2"/>
          </rPr>
          <t>WT-Heizwasserdurchsatz bei Vollast:</t>
        </r>
        <r>
          <rPr>
            <sz val="9"/>
            <color indexed="81"/>
            <rFont val="Arial"/>
            <family val="2"/>
          </rPr>
          <t xml:space="preserve">
Die Eingabe muss so gewählt werden, dass die Gleichzeitigkeit von angeschlossenen Anlagen berücksichtigt wird. </t>
        </r>
      </text>
    </comment>
    <comment ref="V34" authorId="2" shapeId="0" xr:uid="{00000000-0006-0000-0400-000024000000}">
      <text>
        <r>
          <rPr>
            <sz val="8"/>
            <color indexed="81"/>
            <rFont val="Segoe UI"/>
            <family val="2"/>
          </rPr>
          <t xml:space="preserve">Diese Menge wird bei Volllast aus dem Speicher entmommen. Es ist die Differenz zwischen dem Durchfluss der möglichen Leistung (Zelle AD10) und dem Vollastdurchsatz (AK33)
</t>
        </r>
      </text>
    </comment>
    <comment ref="AH34" authorId="2" shapeId="0" xr:uid="{00000000-0006-0000-0400-000025000000}">
      <text>
        <r>
          <rPr>
            <b/>
            <sz val="9"/>
            <color indexed="81"/>
            <rFont val="Arial"/>
            <family val="2"/>
          </rPr>
          <t>WT-Heizwasserdurchsatz aus dem Speicher:</t>
        </r>
        <r>
          <rPr>
            <sz val="9"/>
            <color indexed="81"/>
            <rFont val="Arial"/>
            <family val="2"/>
          </rPr>
          <t xml:space="preserve">
Es ist ein zu erwartender Spitzenlastzeitraum von 5 Min. bis 10 Min. einzutragen.
Vorschlagswert: 5 Min. </t>
        </r>
      </text>
    </comment>
    <comment ref="AD36" authorId="2" shapeId="0" xr:uid="{00000000-0006-0000-0400-000026000000}">
      <text>
        <r>
          <rPr>
            <b/>
            <sz val="9"/>
            <color indexed="81"/>
            <rFont val="Arial"/>
            <family val="2"/>
          </rPr>
          <t>Speicherinhalt, geplant:</t>
        </r>
        <r>
          <rPr>
            <sz val="9"/>
            <color indexed="81"/>
            <rFont val="Arial"/>
            <family val="2"/>
          </rPr>
          <t xml:space="preserve">
In der Regel ist seitens der Hersteller von FWS der Einsatz eines Speicher zur hydraulischen Trennung vorzusehen. Zur hydraulischen Trennung ist ein Mindestvolumen von 200 l erforderlich.</t>
        </r>
      </text>
    </comment>
  </commentList>
</comments>
</file>

<file path=xl/sharedStrings.xml><?xml version="1.0" encoding="utf-8"?>
<sst xmlns="http://schemas.openxmlformats.org/spreadsheetml/2006/main" count="762" uniqueCount="268">
  <si>
    <t>Datum :</t>
  </si>
  <si>
    <t>Bearbeitung :</t>
  </si>
  <si>
    <t>TWW-DIM</t>
  </si>
  <si>
    <t>Liegenschaft:</t>
  </si>
  <si>
    <t>Belegungsstärke :</t>
  </si>
  <si>
    <t>Personen</t>
  </si>
  <si>
    <t>Minuten</t>
  </si>
  <si>
    <t>Vorgänge</t>
  </si>
  <si>
    <t>=</t>
  </si>
  <si>
    <t>TWW</t>
  </si>
  <si>
    <t>kW</t>
  </si>
  <si>
    <t>m³/h</t>
  </si>
  <si>
    <t>Waschen</t>
  </si>
  <si>
    <t>Duschen</t>
  </si>
  <si>
    <t>°C</t>
  </si>
  <si>
    <t>St.</t>
  </si>
  <si>
    <t>Liegenschaft :</t>
  </si>
  <si>
    <t>Bearbeiter :</t>
  </si>
  <si>
    <t>Gebäudeanschlussleistung :</t>
  </si>
  <si>
    <t>Anzahl</t>
  </si>
  <si>
    <t>Planungs- und Bearbeitungshinweise</t>
  </si>
  <si>
    <r>
      <t xml:space="preserve"> Die </t>
    </r>
    <r>
      <rPr>
        <u/>
        <sz val="9"/>
        <rFont val="Arial"/>
        <family val="2"/>
      </rPr>
      <t>grün</t>
    </r>
    <r>
      <rPr>
        <sz val="9"/>
        <rFont val="Arial"/>
        <family val="2"/>
      </rPr>
      <t>en Felder</t>
    </r>
  </si>
  <si>
    <r>
      <t xml:space="preserve">sind </t>
    </r>
    <r>
      <rPr>
        <u/>
        <sz val="9"/>
        <rFont val="Arial"/>
        <family val="2"/>
      </rPr>
      <t xml:space="preserve">Eingabe- </t>
    </r>
    <r>
      <rPr>
        <sz val="9"/>
        <rFont val="Arial"/>
        <family val="2"/>
      </rPr>
      <t xml:space="preserve">bzw. </t>
    </r>
    <r>
      <rPr>
        <u/>
        <sz val="9"/>
        <rFont val="Arial"/>
        <family val="2"/>
      </rPr>
      <t>Auswahlfelder</t>
    </r>
    <r>
      <rPr>
        <sz val="9"/>
        <rFont val="Arial"/>
        <family val="2"/>
      </rPr>
      <t>.</t>
    </r>
  </si>
  <si>
    <r>
      <t xml:space="preserve"> Die </t>
    </r>
    <r>
      <rPr>
        <u/>
        <sz val="9"/>
        <rFont val="Arial"/>
        <family val="2"/>
      </rPr>
      <t>gelb</t>
    </r>
    <r>
      <rPr>
        <sz val="9"/>
        <rFont val="Arial"/>
        <family val="2"/>
      </rPr>
      <t>en Felder</t>
    </r>
  </si>
  <si>
    <r>
      <t xml:space="preserve">sind </t>
    </r>
    <r>
      <rPr>
        <u/>
        <sz val="9"/>
        <rFont val="Arial"/>
        <family val="2"/>
      </rPr>
      <t>Berechnungsfelder,</t>
    </r>
    <r>
      <rPr>
        <sz val="9"/>
        <rFont val="Arial"/>
        <family val="2"/>
      </rPr>
      <t xml:space="preserve"> die Berechnungsformeln beinhalten.</t>
    </r>
  </si>
  <si>
    <r>
      <t xml:space="preserve"> Die </t>
    </r>
    <r>
      <rPr>
        <u/>
        <sz val="9"/>
        <rFont val="Arial"/>
        <family val="2"/>
      </rPr>
      <t>blau</t>
    </r>
    <r>
      <rPr>
        <sz val="9"/>
        <rFont val="Arial"/>
        <family val="2"/>
      </rPr>
      <t>en Felder</t>
    </r>
  </si>
  <si>
    <r>
      <t xml:space="preserve">beinhalten entweder </t>
    </r>
    <r>
      <rPr>
        <u/>
        <sz val="9"/>
        <rFont val="Arial"/>
        <family val="2"/>
      </rPr>
      <t>Stammdaten</t>
    </r>
    <r>
      <rPr>
        <sz val="9"/>
        <rFont val="Arial"/>
        <family val="2"/>
      </rPr>
      <t>, die in der Regel nicht zu verändern sind</t>
    </r>
  </si>
  <si>
    <r>
      <rPr>
        <u/>
        <sz val="9"/>
        <rFont val="Arial"/>
        <family val="2"/>
      </rPr>
      <t>oder</t>
    </r>
    <r>
      <rPr>
        <sz val="9"/>
        <rFont val="Arial"/>
        <family val="2"/>
      </rPr>
      <t xml:space="preserve"> unveränderbare </t>
    </r>
    <r>
      <rPr>
        <u/>
        <sz val="9"/>
        <rFont val="Arial"/>
        <family val="2"/>
      </rPr>
      <t>Datenübernahmen</t>
    </r>
    <r>
      <rPr>
        <sz val="9"/>
        <rFont val="Arial"/>
        <family val="2"/>
      </rPr>
      <t xml:space="preserve"> aus anderen Registern dieser Datei.</t>
    </r>
  </si>
  <si>
    <t>Dieses Blatt der Planungs- u. Bearbeitungshinweise ist nicht der ausgedruckten Fassung beizufügen.</t>
  </si>
  <si>
    <t>In der Realisierungsphase sind die zur Entscheidung geführten Daten und Berechnungen bzw. Prognosen</t>
  </si>
  <si>
    <t xml:space="preserve">noch einmal zu überprüfen bzw. anzupassen. </t>
  </si>
  <si>
    <t>Die Verantwortung der Dateneingaben und dem Ergebnis obliegt dem Anwender.</t>
  </si>
  <si>
    <t>Begründungen</t>
  </si>
  <si>
    <t>Bearbeitung</t>
  </si>
  <si>
    <t>Stand :</t>
  </si>
  <si>
    <t>Ort :</t>
  </si>
  <si>
    <t>Druck :</t>
  </si>
  <si>
    <t>Begründungen bei Abweichungen von der Musterplanung und Erläuterungen objektspezifischer Anpassungen:</t>
  </si>
  <si>
    <t>Eingaben durch:</t>
  </si>
  <si>
    <t xml:space="preserve">Datengrundlagen durch </t>
  </si>
  <si>
    <t>TWW-DIM-Tool</t>
  </si>
  <si>
    <t>Zuordnung</t>
  </si>
  <si>
    <t xml:space="preserve">Zur Einhaltung eines besttimmungsgemäßen Betriebes, ist es an dieser Stelle von entscheidender Bedeutung, eine möglichst reale Nutzung der Entnahmestellen für den Normalbetrieb (alltäglichen Betrieb) darzustellen. </t>
  </si>
  <si>
    <t>Zeit</t>
  </si>
  <si>
    <t>Duschpl</t>
  </si>
  <si>
    <t>Waschpl</t>
  </si>
  <si>
    <t>Min</t>
  </si>
  <si>
    <t>Gesamt</t>
  </si>
  <si>
    <t>Nutzung der verschiedenen Entnahmestellen (Zeitlich und Mengen)</t>
  </si>
  <si>
    <t>Platzbedarf für die Aufstellung bzw. Installation der Trinkwasser-Erwärmungsanlage</t>
  </si>
  <si>
    <t>X</t>
  </si>
  <si>
    <t>Kennzeichnung der min. Nutzungszeit</t>
  </si>
  <si>
    <t>Geb.-Nr.:</t>
  </si>
  <si>
    <t>-Bezeichnung:</t>
  </si>
  <si>
    <t>nein</t>
  </si>
  <si>
    <t>Auswahl</t>
  </si>
  <si>
    <t xml:space="preserve">Für die Auswahl und Auslegung ist der Bearbeiter verantwortlich. </t>
  </si>
  <si>
    <t>kWh</t>
  </si>
  <si>
    <t>Die Veränderung dieser Dateien und die Weiterverbreitung veränderter Kopien nicht mehr in unserer Verantowrtung.</t>
  </si>
  <si>
    <t>Die Veränderung dieser Dateien und die Weiterverbreitung veränderter Kopien ist ausdrücklich untersagt.</t>
  </si>
  <si>
    <t>Das Excelblatt wurde sorgfältig getestet. Dennoch können wir für die Richtigkeit und die korrekte Funktion keine Gewähr übernehmen.</t>
  </si>
  <si>
    <t>Ausgangsgröße für die Dimensionierung ist der Mindest-Versorgungsdruck des Wasserversorgungsunternehmens (WVU), der vor der Planung einzuholen ist.</t>
  </si>
  <si>
    <t>Pflegeheim</t>
  </si>
  <si>
    <t>Verwaltungsgebäude</t>
  </si>
  <si>
    <t>Bettenhaus im Krankenhaus</t>
  </si>
  <si>
    <t>Wohngebäude</t>
  </si>
  <si>
    <r>
      <t>V</t>
    </r>
    <r>
      <rPr>
        <b/>
        <vertAlign val="subscript"/>
        <sz val="9"/>
        <color theme="1"/>
        <rFont val="Arial"/>
        <family val="2"/>
      </rPr>
      <t>S</t>
    </r>
  </si>
  <si>
    <t>c</t>
  </si>
  <si>
    <t>b</t>
  </si>
  <si>
    <t>a</t>
  </si>
  <si>
    <t>Gebäudetyp</t>
  </si>
  <si>
    <t>Konstanten</t>
  </si>
  <si>
    <t>Ø</t>
  </si>
  <si>
    <t>≤</t>
  </si>
  <si>
    <r>
      <t>V</t>
    </r>
    <r>
      <rPr>
        <b/>
        <vertAlign val="subscript"/>
        <sz val="9"/>
        <color theme="1"/>
        <rFont val="Arial"/>
        <family val="2"/>
      </rPr>
      <t>R</t>
    </r>
  </si>
  <si>
    <t>∑</t>
  </si>
  <si>
    <t>nach DIN 1988-300:2012-05-Tab:3</t>
  </si>
  <si>
    <t xml:space="preserve">a, b, c </t>
  </si>
  <si>
    <t>nach DIN 1988-300:2012-05-Tab:2</t>
  </si>
  <si>
    <t>Waschtische</t>
  </si>
  <si>
    <t>(l/s)</t>
  </si>
  <si>
    <t>Berechnungsdurchfluss</t>
  </si>
  <si>
    <t>Zapfleistung</t>
  </si>
  <si>
    <t>Temp.</t>
  </si>
  <si>
    <t>Spitzendurchfluss</t>
  </si>
  <si>
    <r>
      <t>V</t>
    </r>
    <r>
      <rPr>
        <b/>
        <vertAlign val="subscript"/>
        <sz val="12"/>
        <color theme="1"/>
        <rFont val="Arial"/>
        <family val="2"/>
      </rPr>
      <t>S</t>
    </r>
    <r>
      <rPr>
        <b/>
        <sz val="12"/>
        <color theme="1"/>
        <rFont val="Arial"/>
        <family val="2"/>
      </rPr>
      <t xml:space="preserve"> =a (∑V</t>
    </r>
    <r>
      <rPr>
        <b/>
        <vertAlign val="subscript"/>
        <sz val="12"/>
        <color theme="1"/>
        <rFont val="Arial"/>
        <family val="2"/>
      </rPr>
      <t>R</t>
    </r>
    <r>
      <rPr>
        <b/>
        <sz val="12"/>
        <color theme="1"/>
        <rFont val="Arial"/>
        <family val="2"/>
      </rPr>
      <t>)</t>
    </r>
    <r>
      <rPr>
        <b/>
        <vertAlign val="superscript"/>
        <sz val="12"/>
        <color theme="1"/>
        <rFont val="Arial"/>
        <family val="2"/>
      </rPr>
      <t>b</t>
    </r>
    <r>
      <rPr>
        <b/>
        <sz val="12"/>
        <color theme="1"/>
        <rFont val="Arial"/>
        <family val="2"/>
      </rPr>
      <t xml:space="preserve"> -c</t>
    </r>
  </si>
  <si>
    <t>Durchflüsse der Trinkwasserentnahmestellen</t>
  </si>
  <si>
    <t>Ort</t>
  </si>
  <si>
    <t>Liegenschaft</t>
  </si>
  <si>
    <t>Berechnung Spitzendurchfluss</t>
  </si>
  <si>
    <t>Entnahme</t>
  </si>
  <si>
    <t>Entnahmestellen</t>
  </si>
  <si>
    <t>Dauer</t>
  </si>
  <si>
    <t>min</t>
  </si>
  <si>
    <t>l</t>
  </si>
  <si>
    <t>Menge</t>
  </si>
  <si>
    <t>Bedarfsermittlung:</t>
  </si>
  <si>
    <t>Für die Planung und Entscheidung zu einer Trinkwasser-Erwärmungsanlagen bzw. eines Systemes sind folgende Kriterien zu bewerten:</t>
  </si>
  <si>
    <t>Warmwasserbedarf</t>
  </si>
  <si>
    <t>Spitzenentnahmeleistung</t>
  </si>
  <si>
    <t xml:space="preserve">Temperaturen </t>
  </si>
  <si>
    <t>Zeitlich</t>
  </si>
  <si>
    <t>Mengen</t>
  </si>
  <si>
    <t>Ausdehnung des Verrohrungssystem</t>
  </si>
  <si>
    <t>Rohrleitungslängen</t>
  </si>
  <si>
    <t>Rohrleitungsverlegung</t>
  </si>
  <si>
    <t>Wasserbeschaffenheit 1</t>
  </si>
  <si>
    <t>Bei einer Trinkwassererwärmung ist eine Kalkabscheidung nicht vollständig zu vermeiden. Die Neigung zur Kalkausfällung hängt von unterschiedlichen Parametern ab. Vorrangig sind die Inhaltsstoffe und die Erwärmungstemperatur von entscheidender Bedeutung. Ab einer Gesamthärte von &gt; 20°dH (3,5 mol/m³ können Maßnahmen zur Wasserbehandlung erforderlich sein. Dauerhaft durchströmte Wärmetauscher mit geringer Temperaturbelastung (Heizflächen &lt;70°C sind i.d.R. auch für höhere Gesamthärtegrade geeignet.. Da die regionalen Wasserversorger häufig eine mittlere Wasserhärte angeben, der eigendliche Härtegrad kann daduch auch nach oben variieren. Somit ist eine genauere Nachfrage oftmals hilfreich.</t>
  </si>
  <si>
    <r>
      <t>∑V</t>
    </r>
    <r>
      <rPr>
        <b/>
        <vertAlign val="subscript"/>
        <sz val="9"/>
        <rFont val="Arial"/>
        <family val="2"/>
      </rPr>
      <t>R</t>
    </r>
  </si>
  <si>
    <r>
      <t>V</t>
    </r>
    <r>
      <rPr>
        <b/>
        <vertAlign val="subscript"/>
        <sz val="9"/>
        <rFont val="Arial"/>
        <family val="2"/>
      </rPr>
      <t>S</t>
    </r>
  </si>
  <si>
    <t>kWh/(m³ x K) spezif. Wärmekapazität</t>
  </si>
  <si>
    <t>Auswahlfenster</t>
  </si>
  <si>
    <t>Zirkulation</t>
  </si>
  <si>
    <t xml:space="preserve">Heizleistungen von marktgängigen elektr. Durchlauferhitzern
</t>
  </si>
  <si>
    <t>Leistungsgrößen  von marktgängigen Frischwasser-systemen. 
(kW)</t>
  </si>
  <si>
    <t>WT-Leistungen für SLS 
die markgängig an-geboten werden.
Es sind auch Zwischengrößen möglich. 
(kW)</t>
  </si>
  <si>
    <t>Einzelgerät</t>
  </si>
  <si>
    <t>Hotel-Standard</t>
  </si>
  <si>
    <t>Schule-Standard</t>
  </si>
  <si>
    <t>Ausgewählte Entnahmestellen</t>
  </si>
  <si>
    <t>Minimal</t>
  </si>
  <si>
    <t>Erwartet</t>
  </si>
  <si>
    <t>Nutzungszeitraum für die Entnahme</t>
  </si>
  <si>
    <r>
      <t>t</t>
    </r>
    <r>
      <rPr>
        <vertAlign val="subscript"/>
        <sz val="9"/>
        <rFont val="Arial"/>
        <family val="2"/>
      </rPr>
      <t>V</t>
    </r>
  </si>
  <si>
    <r>
      <t>t</t>
    </r>
    <r>
      <rPr>
        <vertAlign val="subscript"/>
        <sz val="9"/>
        <rFont val="Arial"/>
        <family val="2"/>
      </rPr>
      <t>R</t>
    </r>
  </si>
  <si>
    <t>Sommer :</t>
  </si>
  <si>
    <t>Mögliche Leistung :</t>
  </si>
  <si>
    <r>
      <t xml:space="preserve"> </t>
    </r>
    <r>
      <rPr>
        <sz val="9"/>
        <rFont val="Arial"/>
        <family val="2"/>
      </rPr>
      <t>t</t>
    </r>
    <r>
      <rPr>
        <vertAlign val="subscript"/>
        <sz val="9"/>
        <rFont val="Arial"/>
        <family val="2"/>
      </rPr>
      <t>V</t>
    </r>
  </si>
  <si>
    <t>- aus der Heizwasser-Wärmeübergabe</t>
  </si>
  <si>
    <t xml:space="preserve"> - durchfluss eingestellt :</t>
  </si>
  <si>
    <t>- des Heizkreises für die Trinkwasser-Erwärmung</t>
  </si>
  <si>
    <t>Durchfluss :</t>
  </si>
  <si>
    <r>
      <t xml:space="preserve">m³/h, </t>
    </r>
    <r>
      <rPr>
        <sz val="8"/>
        <rFont val="Arial Narrow"/>
        <family val="2"/>
      </rPr>
      <t>(nutzbarer Durchfluss von der Wärmeübergabe)</t>
    </r>
  </si>
  <si>
    <t xml:space="preserve"> t max.</t>
  </si>
  <si>
    <t>2er Kaskade</t>
  </si>
  <si>
    <t>3er Kaskade</t>
  </si>
  <si>
    <t>4er Kaskade</t>
  </si>
  <si>
    <t>Heizwasserspeicher bei nicht ausreichender Versorgung</t>
  </si>
  <si>
    <t>geplant</t>
  </si>
  <si>
    <t>Leistungsunterdeckung des gelpanten WT</t>
  </si>
  <si>
    <t>Anhaltedauer des Spitzenvolumenstromes</t>
  </si>
  <si>
    <t>s</t>
  </si>
  <si>
    <t>Für SLS</t>
  </si>
  <si>
    <t>Gebäudeeinstufung</t>
  </si>
  <si>
    <t>erf. Wärmeleistung</t>
  </si>
  <si>
    <t>Speicher-.größen für el. TW-Erwärmer mit Speicher (Wand-speicher)</t>
  </si>
  <si>
    <t>Speicher-größen
für das Speicher-
ladesystem SLS</t>
  </si>
  <si>
    <t>Heizwasser-speicher</t>
  </si>
  <si>
    <t>Auswahlbereich für WT SLS</t>
  </si>
  <si>
    <t>TWW-Auslauf-temperaturen am Gerät / Modul / Speicher (60)</t>
  </si>
  <si>
    <t>Durchfl.</t>
  </si>
  <si>
    <t>PWC</t>
  </si>
  <si>
    <t>PWH</t>
  </si>
  <si>
    <t>Wassermengen im Nutzungszeitraum</t>
  </si>
  <si>
    <t xml:space="preserve">geplant </t>
  </si>
  <si>
    <t>Gruppenversorgung</t>
  </si>
  <si>
    <t>Einzelversorgung</t>
  </si>
  <si>
    <t>Gebäudeversorgung</t>
  </si>
  <si>
    <t>Geschossversorgung</t>
  </si>
  <si>
    <t>Leistungsdaten Heizwasser</t>
  </si>
  <si>
    <t>Auslegung Speicherladesystem</t>
  </si>
  <si>
    <t>4.1</t>
  </si>
  <si>
    <t>Auslegung Durchfluss-/ Frischwassersystem (FWS)</t>
  </si>
  <si>
    <t>4.2</t>
  </si>
  <si>
    <t>Dieses Auslegungstool soll dem Planer helfen eine schnelle Entscheidung für eine Trinkwassererwärmungsanlage (TWErwAnl.) zu finden. So dass auch für andere Beteiligte und zu einem späteren Zeitpunkt die Kriterien noch nachvollziehbar sind.</t>
  </si>
  <si>
    <r>
      <t>Wesentliche</t>
    </r>
    <r>
      <rPr>
        <sz val="9"/>
        <rFont val="Arial"/>
        <family val="2"/>
      </rPr>
      <t xml:space="preserve"> Einflussgrößen sind die Belegugsstärke und der zu erwartende Verbrauchszeitraum.</t>
    </r>
  </si>
  <si>
    <t xml:space="preserve">In der Auslegung einer TW-Erwärmungsanlage ist zu berücksichtigen, dass nicht auf Kosten der Hygiene der absolute Ausnahmefall berücksichtigt wird. Es sind bei der Bundeswehr i.d.R. keine Betriebszustände zu berücksichtigen, die in einem Betriebsjahr nur selten vorkommen. Diese werden hingenommen oder sind organisatorisch zu entschärfen. </t>
  </si>
  <si>
    <r>
      <t xml:space="preserve">Im Register </t>
    </r>
    <r>
      <rPr>
        <b/>
        <sz val="9"/>
        <rFont val="Arial"/>
        <family val="2"/>
      </rPr>
      <t>"TWW-DIM"</t>
    </r>
    <r>
      <rPr>
        <sz val="9"/>
        <rFont val="Arial"/>
        <family val="2"/>
      </rPr>
      <t xml:space="preserve"> sind die wesentlichen Eingaben mit den folgenden Bearbeitungsschritten durchzuführen:</t>
    </r>
  </si>
  <si>
    <r>
      <t xml:space="preserve">Unter Nr. 1 und Nr. 2  des Blattes "Reg. TWW-DIM" sind zunächst die Grunddaten der Berechnung einzutragen. 
Es beginnt mit der Eingabe der </t>
    </r>
    <r>
      <rPr>
        <u/>
        <sz val="9"/>
        <rFont val="Arial"/>
        <family val="2"/>
      </rPr>
      <t>Belegungsstärke</t>
    </r>
    <r>
      <rPr>
        <sz val="9"/>
        <rFont val="Arial"/>
        <family val="2"/>
      </rPr>
      <t xml:space="preserve">. Hierbei ist zu berücksichtigen, dass der Vollbelegungszustand in den meisten Gebäuden nicht die Regel ist. 
Die nächste Position ist die Eingabe der im Verbrauchszeitraum tatsächlich genutzten </t>
    </r>
    <r>
      <rPr>
        <u/>
        <sz val="9"/>
        <rFont val="Arial"/>
        <family val="2"/>
      </rPr>
      <t>Dusch- und Waschplätze</t>
    </r>
    <r>
      <rPr>
        <sz val="9"/>
        <rFont val="Arial"/>
        <family val="2"/>
      </rPr>
      <t xml:space="preserve">. Hierbei kann auch berücksichtigt werden, dass in in einer Nasszelle mit zwei Waschplätze und einer Dusche (z.B. Standard-U-Gebäude) nicht alle gleichzeitig genutzt werden.
In der nächsten Eingabeposition ist der zu </t>
    </r>
    <r>
      <rPr>
        <u/>
        <sz val="9"/>
        <rFont val="Arial"/>
        <family val="2"/>
      </rPr>
      <t>erwartende Verbrauchszeitraum</t>
    </r>
    <r>
      <rPr>
        <sz val="9"/>
        <rFont val="Arial"/>
        <family val="2"/>
      </rPr>
      <t xml:space="preserve"> einzugeben, wobei der zuvor berechnete kürzeste Nutzungszeitraum nicht unterschritten werden darf.   </t>
    </r>
  </si>
  <si>
    <r>
      <t xml:space="preserve">In diesem Bearbeitungsbereich sind zur Auslegung die Eingaben zu tätigen, welche und wieviele </t>
    </r>
    <r>
      <rPr>
        <u/>
        <sz val="9"/>
        <rFont val="Arial"/>
        <family val="2"/>
      </rPr>
      <t>Entnahmestellen gleichzeitig</t>
    </r>
    <r>
      <rPr>
        <sz val="9"/>
        <rFont val="Arial"/>
        <family val="2"/>
      </rPr>
      <t xml:space="preserve"> betätigt werden. Hier ist es möglich auch noch andere Entnahmestellen mit aufzunehmen. Diese Angaben sind wichtig für die Auslegung einer TW-Erwärmungsanlage im Durchlaufprinzip.  </t>
    </r>
  </si>
  <si>
    <r>
      <t xml:space="preserve">Unter Nr. 2 in "TWW-DIM" sind die durch die Heizwasserversorgung vorgegebenen Rahmenbedingungen einzugeben. Anhand der </t>
    </r>
    <r>
      <rPr>
        <u/>
        <sz val="9"/>
        <rFont val="Arial"/>
        <family val="2"/>
      </rPr>
      <t>Gebäudeanschlussleistung</t>
    </r>
    <r>
      <rPr>
        <sz val="9"/>
        <rFont val="Arial"/>
        <family val="2"/>
      </rPr>
      <t xml:space="preserve"> und den </t>
    </r>
    <r>
      <rPr>
        <u/>
        <sz val="9"/>
        <rFont val="Arial"/>
        <family val="2"/>
      </rPr>
      <t>Auslegungstemperaturen</t>
    </r>
    <r>
      <rPr>
        <sz val="9"/>
        <rFont val="Arial"/>
        <family val="2"/>
      </rPr>
      <t xml:space="preserve"> wird der max. Duchfluss errechnet, der am Mengen- u. Differenzdruckregler einzustellen ist.</t>
    </r>
  </si>
  <si>
    <t>0. Bedingungen für die TW-Erwärmungsanlage</t>
  </si>
  <si>
    <t>1. Bedingungen der Trinkwarmwasserentnahme</t>
  </si>
  <si>
    <t>2. Bedingungen der Heizwasserversorgung</t>
  </si>
  <si>
    <t>3. Berechnung Speicherladesystem</t>
  </si>
  <si>
    <t>dafür erforderliche PWH-Speichergröße</t>
  </si>
  <si>
    <t>4. Berechnung Durchflusssystem</t>
  </si>
  <si>
    <t xml:space="preserve">Unter 4.1 wird ein Durchflusssystem berechnet. Hierbei müssen die Entnahmestellen berücksichtigt werden, die dem Gerät angeschlossen sind. Im Bezug zur Nutzungseinheit können Entrnahmestellen entfallen. Es können 2 unterschiedliche Gerätetypen berücksichtigt werden.  </t>
  </si>
  <si>
    <t xml:space="preserve">Unter 4.2 ist ein Wärmespeicher auszulegen falls die Gebäudeanschlussleistung nicht ausreichend ist. Zur hydraulischen Entkopplung sind viele Durchlaufsysteme von einem Wärmespeicher abhängig. </t>
  </si>
  <si>
    <r>
      <rPr>
        <b/>
        <sz val="11"/>
        <rFont val="Arial"/>
        <family val="2"/>
      </rPr>
      <t>5</t>
    </r>
    <r>
      <rPr>
        <sz val="9"/>
        <rFont val="Arial"/>
        <family val="2"/>
      </rPr>
      <t xml:space="preserve">  Bemerkungen</t>
    </r>
  </si>
  <si>
    <t xml:space="preserve">5. Bemerkungen </t>
  </si>
  <si>
    <t xml:space="preserve">Hier können Bemerkungen und Angaben zur Auslegung gemacht werden, die als Erklärung für die gemachen Eingaben dienen. Für mehr Informationen ist das Register "Begründungen" hier sind die Anmerkungen zusammen zu fassen, die eine allgemeine Grundlage der Auslegung bilden. </t>
  </si>
  <si>
    <t xml:space="preserve"> Kapazität</t>
  </si>
  <si>
    <t>erforderlich</t>
  </si>
  <si>
    <t>Speicherinhalt</t>
  </si>
  <si>
    <t>Q</t>
  </si>
  <si>
    <t>Bemerkungen</t>
  </si>
  <si>
    <t>für</t>
  </si>
  <si>
    <t>Nutzer</t>
  </si>
  <si>
    <t xml:space="preserve">Ausfertigung vom 19.01.2017 </t>
  </si>
  <si>
    <t>Stand</t>
  </si>
  <si>
    <t>ja</t>
  </si>
  <si>
    <t>In einer Trinkwasser-Installation ist die Gleichzeitigkeit der Wasserentnahme in Abhängigkeit von der Art der Nutzung des zu betrachtenden Installationsabschnittes anzunehmen. Im Allgemeinen ist nicht damit zu rechen, das sämtliche angeschlossene Entnahmestellen gleichzeitig voll geöffnet sind.</t>
  </si>
  <si>
    <t>Nutzungsbedingungen</t>
  </si>
  <si>
    <t xml:space="preserve">Gesamt </t>
  </si>
  <si>
    <r>
      <t xml:space="preserve"> V</t>
    </r>
    <r>
      <rPr>
        <b/>
        <vertAlign val="subscript"/>
        <sz val="9"/>
        <color theme="1"/>
        <rFont val="Arial"/>
        <family val="2"/>
      </rPr>
      <t>R</t>
    </r>
    <r>
      <rPr>
        <b/>
        <sz val="9"/>
        <color theme="1"/>
        <rFont val="Arial"/>
        <family val="2"/>
      </rPr>
      <t xml:space="preserve"> (l/s)</t>
    </r>
  </si>
  <si>
    <t>TWW-Anteile l/s</t>
  </si>
  <si>
    <t>Vorhaltung TWK</t>
  </si>
  <si>
    <t>TWW min</t>
  </si>
  <si>
    <t>%</t>
  </si>
  <si>
    <r>
      <t>∑V</t>
    </r>
    <r>
      <rPr>
        <b/>
        <vertAlign val="subscript"/>
        <sz val="9"/>
        <color theme="1"/>
        <rFont val="Arial"/>
        <family val="2"/>
      </rPr>
      <t>R</t>
    </r>
    <r>
      <rPr>
        <b/>
        <sz val="9"/>
        <color theme="1"/>
        <rFont val="Arial"/>
        <family val="2"/>
      </rPr>
      <t xml:space="preserve"> (l/s)</t>
    </r>
  </si>
  <si>
    <r>
      <t>V</t>
    </r>
    <r>
      <rPr>
        <b/>
        <vertAlign val="subscript"/>
        <sz val="9"/>
        <color theme="1"/>
        <rFont val="Arial"/>
        <family val="2"/>
      </rPr>
      <t>S</t>
    </r>
    <r>
      <rPr>
        <b/>
        <sz val="9"/>
        <color theme="1"/>
        <rFont val="Arial"/>
        <family val="2"/>
      </rPr>
      <t xml:space="preserve"> (l/s)</t>
    </r>
  </si>
  <si>
    <t xml:space="preserve">Für die in Tab.3 genannten Gebäudearten wird der Spitzendurchfluss Vs im Geltungsbereich </t>
  </si>
  <si>
    <t xml:space="preserve"> mit der genannten Formel berechnet.</t>
  </si>
  <si>
    <t>max</t>
  </si>
  <si>
    <t>Konstanten für Gebäudetypen nach DIN 1988-300:2012-05 Tabelle 3</t>
  </si>
  <si>
    <t>angeschlossen</t>
  </si>
  <si>
    <t>Pers.</t>
  </si>
  <si>
    <t>eigene Auswahl</t>
  </si>
  <si>
    <t>Für Anlage 1</t>
  </si>
  <si>
    <t>Belastung</t>
  </si>
  <si>
    <t>Durchflussmengen</t>
  </si>
  <si>
    <t>Ltr./min</t>
  </si>
  <si>
    <t>TWK =</t>
  </si>
  <si>
    <t>Gebäudetyp / Versorgungstyp</t>
  </si>
  <si>
    <t>gewählt</t>
  </si>
  <si>
    <t>Für Anlage 2</t>
  </si>
  <si>
    <t>Anlage Typ 1</t>
  </si>
  <si>
    <t>Auslastung</t>
  </si>
  <si>
    <t xml:space="preserve">Leistung </t>
  </si>
  <si>
    <t>Anlage Typ 2</t>
  </si>
  <si>
    <r>
      <t>kW</t>
    </r>
    <r>
      <rPr>
        <sz val="8"/>
        <rFont val="Arial"/>
        <family val="2"/>
      </rPr>
      <t xml:space="preserve"> ohne PWH-Speicher</t>
    </r>
  </si>
  <si>
    <t>geplante WT-Leistung</t>
  </si>
  <si>
    <t>Speichergröße</t>
  </si>
  <si>
    <t>Durchhaltezeit des Speichers</t>
  </si>
  <si>
    <t>für die FWS-Anlagen</t>
  </si>
  <si>
    <t xml:space="preserve">Hinweis: </t>
  </si>
  <si>
    <t xml:space="preserve">Nur bei einem System in der die "3 l-Regel" nach DVGW-Bl. 551 eingehalten werden kann, kann die TWW-Temperatur &lt; 60°C gewählt werden.Wird mit einem Zirkulationssystem gerechnet, ist in jedem Fall 60°C zu wählen!  </t>
  </si>
  <si>
    <t>(Warmwasseraustrittstemperatur aus dem Trinkwassererwärmer)</t>
  </si>
  <si>
    <t>SLS</t>
  </si>
  <si>
    <t>Speicherladesystem</t>
  </si>
  <si>
    <t>Ladekapazität in der Zeit</t>
  </si>
  <si>
    <t>Erforderlicher Speicherinhalt</t>
  </si>
  <si>
    <t>Speicher für FWS</t>
  </si>
  <si>
    <t xml:space="preserve">Durchsatz Heizwasser in </t>
  </si>
  <si>
    <t>Durchsatz Heizwasser bei</t>
  </si>
  <si>
    <t>L</t>
  </si>
  <si>
    <t>Verbrauchs-mengen (L)</t>
  </si>
  <si>
    <t>Mischwassermenge</t>
  </si>
  <si>
    <t>L/min</t>
  </si>
  <si>
    <t>Grunddaten für die Trinkwasser-Erwärmung</t>
  </si>
  <si>
    <t>Winter :</t>
  </si>
  <si>
    <t>t min.</t>
  </si>
  <si>
    <t>Gleichzeitigkeit  der FWS</t>
  </si>
  <si>
    <t xml:space="preserve">L </t>
  </si>
  <si>
    <t>U-Gebäude</t>
  </si>
  <si>
    <t>Schüttleistung mit</t>
  </si>
  <si>
    <t>Gesamte Schüttleistung mit</t>
  </si>
  <si>
    <t>Eigene Auswahl</t>
  </si>
  <si>
    <t xml:space="preserve">Die Berechnung erfolgte mit Standardwerten der MPL und Vorgaben aus den Planungsgrundlagen zur Baumaßnahme. </t>
  </si>
  <si>
    <t>Hinweise:</t>
  </si>
  <si>
    <r>
      <t>Für t</t>
    </r>
    <r>
      <rPr>
        <vertAlign val="subscript"/>
        <sz val="7"/>
        <color theme="0"/>
        <rFont val="Arial"/>
        <family val="2"/>
      </rPr>
      <t>R</t>
    </r>
    <r>
      <rPr>
        <sz val="7"/>
        <color theme="0"/>
        <rFont val="Arial"/>
        <family val="2"/>
      </rPr>
      <t xml:space="preserve"> ist die </t>
    </r>
    <r>
      <rPr>
        <b/>
        <sz val="7"/>
        <color theme="0"/>
        <rFont val="Arial"/>
        <family val="2"/>
      </rPr>
      <t>Rücklauf-temperatur</t>
    </r>
    <r>
      <rPr>
        <sz val="7"/>
        <color theme="0"/>
        <rFont val="Arial"/>
        <family val="2"/>
      </rPr>
      <t xml:space="preserve"> einzutragen, die sich </t>
    </r>
    <r>
      <rPr>
        <b/>
        <sz val="7"/>
        <color theme="0"/>
        <rFont val="Arial"/>
        <family val="2"/>
      </rPr>
      <t>in der TW-Erwärmungs-phase</t>
    </r>
    <r>
      <rPr>
        <sz val="7"/>
        <color theme="0"/>
        <rFont val="Arial"/>
        <family val="2"/>
      </rPr>
      <t xml:space="preserve"> einstellt. Eine Ermittlung mit dem Tool "</t>
    </r>
    <r>
      <rPr>
        <b/>
        <sz val="7"/>
        <color theme="0"/>
        <rFont val="Arial"/>
        <family val="2"/>
      </rPr>
      <t>HK-Dim</t>
    </r>
    <r>
      <rPr>
        <sz val="7"/>
        <color theme="0"/>
        <rFont val="Arial"/>
        <family val="2"/>
      </rPr>
      <t>" wird empfohlen.</t>
    </r>
  </si>
  <si>
    <t>Bw-Liegenschaft</t>
  </si>
  <si>
    <t>Bonn</t>
  </si>
  <si>
    <t>TWW-DIM-Beispiel</t>
  </si>
  <si>
    <t>Wenn Sie diese Kopie nicht von LKEBw direkt bezogen haben, können wir nicht sicherstellen, dass sie der von uns erstellten Fassung entspricht.</t>
  </si>
  <si>
    <t>M. Mustermann</t>
  </si>
  <si>
    <r>
      <t>Für t</t>
    </r>
    <r>
      <rPr>
        <vertAlign val="subscript"/>
        <sz val="7"/>
        <color theme="0"/>
        <rFont val="Arial"/>
        <family val="2"/>
      </rPr>
      <t>R</t>
    </r>
    <r>
      <rPr>
        <sz val="7"/>
        <color theme="0"/>
        <rFont val="Arial"/>
        <family val="2"/>
      </rPr>
      <t xml:space="preserve"> ist die </t>
    </r>
    <r>
      <rPr>
        <b/>
        <sz val="7"/>
        <color theme="0"/>
        <rFont val="Arial"/>
        <family val="2"/>
      </rPr>
      <t>Rücklauftemperatur</t>
    </r>
    <r>
      <rPr>
        <sz val="7"/>
        <color theme="0"/>
        <rFont val="Arial"/>
        <family val="2"/>
      </rPr>
      <t xml:space="preserve"> einzutragen, die sich </t>
    </r>
    <r>
      <rPr>
        <b/>
        <sz val="7"/>
        <color theme="0"/>
        <rFont val="Arial"/>
        <family val="2"/>
      </rPr>
      <t>in der TW-Erwärmungsphase</t>
    </r>
    <r>
      <rPr>
        <sz val="7"/>
        <color theme="0"/>
        <rFont val="Arial"/>
        <family val="2"/>
      </rPr>
      <t xml:space="preserve"> einstellt. Eine Ermittlung mit dem Tool "</t>
    </r>
    <r>
      <rPr>
        <b/>
        <sz val="7"/>
        <color theme="0"/>
        <rFont val="Arial"/>
        <family val="2"/>
      </rPr>
      <t>HK-Dim</t>
    </r>
    <r>
      <rPr>
        <sz val="7"/>
        <color theme="0"/>
        <rFont val="Arial"/>
        <family val="2"/>
      </rPr>
      <t>" wird empfohlen.</t>
    </r>
  </si>
  <si>
    <t xml:space="preserve">Unter Nr. 3 kann ein Speicherladesystem bestimmt werden. Hierzu muss eine Wärmetauscherleistuing angegeben werden, die genutzt werden kann. Der Trinkwarmwasserspeicher wird (PWH-Speichergröße" wird vorgeschlagen. Auf dieser Größe ist ein erforderlicher Speicher einzusetzen, so dass in Zeile 30 eine Überdeckung ausgewiesen wird. </t>
  </si>
  <si>
    <r>
      <t xml:space="preserve">Leitstelle Klimaneutrale Energieversorgung
</t>
    </r>
    <r>
      <rPr>
        <b/>
        <sz val="11"/>
        <color rgb="FF008000"/>
        <rFont val="Arial"/>
        <family val="2"/>
      </rPr>
      <t>der Liegenschaften der Bundeswehr</t>
    </r>
  </si>
  <si>
    <r>
      <t>Ó</t>
    </r>
    <r>
      <rPr>
        <sz val="10"/>
        <color theme="1"/>
        <rFont val="Arial"/>
        <family val="2"/>
      </rPr>
      <t xml:space="preserve"> </t>
    </r>
  </si>
  <si>
    <t>der Bundeswehr (LKEBw)</t>
  </si>
  <si>
    <t xml:space="preserve">Leitstelle Klimaneutrale Energieversorgung der Liegenschaften </t>
  </si>
  <si>
    <t>Falls Sie Fehler entdecken, Verbesserungsvorschläge oder Fragen haben, wenden Sie sich bitte an  lkebw@ofd-bau.nrw.de</t>
  </si>
  <si>
    <r>
      <t>Ó</t>
    </r>
    <r>
      <rPr>
        <b/>
        <sz val="10"/>
        <color theme="1"/>
        <rFont val="Arial"/>
        <family val="2"/>
      </rPr>
      <t xml:space="preserve"> </t>
    </r>
  </si>
  <si>
    <t xml:space="preserve">Leitstelle Klimaneutrale Energieversorgung </t>
  </si>
  <si>
    <t>der Liegenschaften der Bundeswehr (LKEBw)</t>
  </si>
  <si>
    <t>Falls Sie Fehler entdecken, Verbesserungsvorschläge oder Fragen haben, wenden Sie sich bitte an 
lkebw@ofd-bau.nrw.de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</si>
</sst>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 #,##0.00\ &quot;€&quot;_-;\-* #,##0.00\ &quot;€&quot;_-;_-* &quot;-&quot;??\ &quot;€&quot;_-;_-@_-"/>
    <numFmt numFmtId="164" formatCode="0\ &quot;°C&quot;"/>
    <numFmt numFmtId="165" formatCode="#,##0\ &quot;°C&quot;"/>
    <numFmt numFmtId="166" formatCode="#,##0.0"/>
    <numFmt numFmtId="167" formatCode="0.0"/>
    <numFmt numFmtId="168" formatCode="0\ &quot;kW th&quot;"/>
    <numFmt numFmtId="169" formatCode="0\ &quot;kW el&quot;"/>
    <numFmt numFmtId="170" formatCode="_-* #,##0.00\ _D_M_-;\-* #,##0.00\ _D_M_-;_-* &quot;-&quot;??\ _D_M_-;_-@_-"/>
    <numFmt numFmtId="171" formatCode="#,##0.0\ &quot;l/min&quot;"/>
    <numFmt numFmtId="172" formatCode="&quot;min&quot;\ #,##0\ &quot;kW&quot;"/>
    <numFmt numFmtId="173" formatCode="&quot;max.: &quot;#,##0\ &quot;kW&quot;"/>
    <numFmt numFmtId="174" formatCode="0\ &quot;Pers&quot;"/>
    <numFmt numFmtId="175" formatCode="0\ &quot;%&quot;"/>
    <numFmt numFmtId="176" formatCode="0\ &quot;kW&quot;"/>
    <numFmt numFmtId="177" formatCode="#,##0\ &quot;°C auf&quot;"/>
    <numFmt numFmtId="178" formatCode="&quot;= &quot;\ #,##0\ &quot;kWh&quot;"/>
    <numFmt numFmtId="179" formatCode="#,##0\ &quot;kW x &quot;"/>
    <numFmt numFmtId="180" formatCode="#,##0\ &quot;min = &quot;"/>
    <numFmt numFmtId="181" formatCode="#,##0\ &quot;kWh &quot;"/>
    <numFmt numFmtId="182" formatCode="#,##0\ &quot;min&quot;"/>
    <numFmt numFmtId="183" formatCode="#,##0.00\ &quot;Ltr.&quot;"/>
    <numFmt numFmtId="184" formatCode="#,##0.00\ &quot;m³   von&quot;"/>
    <numFmt numFmtId="185" formatCode="&quot;= &quot;\ #,##0\ &quot;kWh - &quot;"/>
    <numFmt numFmtId="186" formatCode="#,##0\ &quot;kW&quot;"/>
    <numFmt numFmtId="187" formatCode="#,##0.00\ &quot;m³&quot;"/>
    <numFmt numFmtId="188" formatCode="#,##0\ &quot;Ltr&quot;"/>
    <numFmt numFmtId="189" formatCode="0.0\ &quot;L/min&quot;"/>
    <numFmt numFmtId="190" formatCode="&quot;);  &quot;#,##0.00\ &quot;m³/h&quot;"/>
    <numFmt numFmtId="191" formatCode="#,##0.00\ &quot;m³/h aus dem Speicher, für:&quot;"/>
    <numFmt numFmtId="192" formatCode="#,##0.0\ &quot;kWh&quot;"/>
  </numFmts>
  <fonts count="97">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sz val="10"/>
      <name val="Arial"/>
      <family val="2"/>
    </font>
    <font>
      <b/>
      <sz val="12"/>
      <name val="Arial"/>
      <family val="2"/>
    </font>
    <font>
      <b/>
      <sz val="10"/>
      <name val="Arial"/>
      <family val="2"/>
    </font>
    <font>
      <sz val="11"/>
      <color indexed="17"/>
      <name val="Futura Book"/>
    </font>
    <font>
      <sz val="14"/>
      <color indexed="10"/>
      <name val="Tahoma"/>
      <family val="2"/>
    </font>
    <font>
      <sz val="9"/>
      <name val="Arial"/>
      <family val="2"/>
    </font>
    <font>
      <sz val="11"/>
      <color theme="1"/>
      <name val="Calibri"/>
      <family val="2"/>
      <scheme val="minor"/>
    </font>
    <font>
      <b/>
      <sz val="9"/>
      <name val="Arial"/>
      <family val="2"/>
    </font>
    <font>
      <b/>
      <sz val="9"/>
      <name val="Arial Narrow"/>
      <family val="2"/>
    </font>
    <font>
      <sz val="9"/>
      <name val="Arial Narrow"/>
      <family val="2"/>
    </font>
    <font>
      <b/>
      <sz val="10"/>
      <color indexed="81"/>
      <name val="Tahoma"/>
      <family val="2"/>
    </font>
    <font>
      <sz val="10"/>
      <color indexed="81"/>
      <name val="Tahoma"/>
      <family val="2"/>
    </font>
    <font>
      <sz val="8"/>
      <color indexed="81"/>
      <name val="Tahoma"/>
      <family val="2"/>
    </font>
    <font>
      <b/>
      <sz val="8"/>
      <color indexed="81"/>
      <name val="Tahoma"/>
      <family val="2"/>
    </font>
    <font>
      <sz val="9"/>
      <color theme="1"/>
      <name val="Arial"/>
      <family val="2"/>
    </font>
    <font>
      <b/>
      <sz val="9"/>
      <color theme="1"/>
      <name val="Arial"/>
      <family val="2"/>
    </font>
    <font>
      <sz val="12"/>
      <name val="Arial"/>
      <family val="2"/>
    </font>
    <font>
      <b/>
      <sz val="11"/>
      <name val="Arial"/>
      <family val="2"/>
    </font>
    <font>
      <b/>
      <sz val="8"/>
      <name val="Arial"/>
      <family val="2"/>
    </font>
    <font>
      <sz val="8"/>
      <name val="Arial"/>
      <family val="2"/>
    </font>
    <font>
      <u/>
      <sz val="10"/>
      <color indexed="12"/>
      <name val="Arial"/>
      <family val="2"/>
    </font>
    <font>
      <b/>
      <sz val="9"/>
      <color rgb="FFFF0000"/>
      <name val="Arial Narrow"/>
      <family val="2"/>
    </font>
    <font>
      <b/>
      <sz val="9"/>
      <color rgb="FFFF0000"/>
      <name val="Arial"/>
      <family val="2"/>
    </font>
    <font>
      <b/>
      <sz val="9"/>
      <color rgb="FF0000FF"/>
      <name val="Arial"/>
      <family val="2"/>
    </font>
    <font>
      <b/>
      <sz val="9"/>
      <color theme="1"/>
      <name val="Arial Narrow"/>
      <family val="2"/>
    </font>
    <font>
      <sz val="9"/>
      <color rgb="FFFF0000"/>
      <name val="Arial"/>
      <family val="2"/>
    </font>
    <font>
      <sz val="9"/>
      <color theme="0"/>
      <name val="Arial"/>
      <family val="2"/>
    </font>
    <font>
      <u/>
      <sz val="9"/>
      <name val="Arial"/>
      <family val="2"/>
    </font>
    <font>
      <b/>
      <u/>
      <sz val="10"/>
      <name val="Arial"/>
      <family val="2"/>
    </font>
    <font>
      <b/>
      <i/>
      <sz val="9"/>
      <color rgb="FFFF0000"/>
      <name val="Arial"/>
      <family val="2"/>
    </font>
    <font>
      <b/>
      <sz val="10"/>
      <color rgb="FFFF0000"/>
      <name val="Arial"/>
      <family val="2"/>
    </font>
    <font>
      <sz val="10"/>
      <color rgb="FFFF0000"/>
      <name val="Arial"/>
      <family val="2"/>
    </font>
    <font>
      <b/>
      <sz val="14"/>
      <name val="Arial"/>
      <family val="2"/>
    </font>
    <font>
      <b/>
      <sz val="10"/>
      <color theme="0" tint="-4.9989318521683403E-2"/>
      <name val="Arial"/>
      <family val="2"/>
    </font>
    <font>
      <sz val="10"/>
      <color theme="0"/>
      <name val="Arial"/>
      <family val="2"/>
    </font>
    <font>
      <b/>
      <u/>
      <sz val="9"/>
      <name val="Arial"/>
      <family val="2"/>
    </font>
    <font>
      <i/>
      <sz val="9"/>
      <color rgb="FFFF0000"/>
      <name val="Arial"/>
      <family val="2"/>
    </font>
    <font>
      <vertAlign val="subscript"/>
      <sz val="9"/>
      <name val="Arial"/>
      <family val="2"/>
    </font>
    <font>
      <sz val="9"/>
      <color indexed="81"/>
      <name val="Tahoma"/>
      <family val="2"/>
    </font>
    <font>
      <b/>
      <sz val="10"/>
      <color theme="1"/>
      <name val="Arial"/>
      <family val="2"/>
    </font>
    <font>
      <sz val="8"/>
      <color theme="4" tint="-0.249977111117893"/>
      <name val="Arial Narrow"/>
      <family val="2"/>
    </font>
    <font>
      <sz val="9"/>
      <color theme="4" tint="-0.249977111117893"/>
      <name val="Arial Narrow"/>
      <family val="2"/>
    </font>
    <font>
      <sz val="9"/>
      <color theme="1"/>
      <name val="Arial Narrow"/>
      <family val="2"/>
    </font>
    <font>
      <sz val="8"/>
      <name val="Arial Narrow"/>
      <family val="2"/>
    </font>
    <font>
      <b/>
      <sz val="10"/>
      <name val="Arial Narrow"/>
      <family val="2"/>
    </font>
    <font>
      <sz val="11"/>
      <color theme="0" tint="-0.14999847407452621"/>
      <name val="Calibri"/>
      <family val="2"/>
      <scheme val="minor"/>
    </font>
    <font>
      <sz val="10"/>
      <name val="Symbol"/>
      <family val="1"/>
      <charset val="2"/>
    </font>
    <font>
      <sz val="8"/>
      <color theme="1"/>
      <name val="Arial Narrow"/>
      <family val="2"/>
    </font>
    <font>
      <sz val="8"/>
      <color theme="1"/>
      <name val="Arial"/>
      <family val="2"/>
    </font>
    <font>
      <b/>
      <sz val="11"/>
      <color theme="1"/>
      <name val="Arial"/>
      <family val="2"/>
    </font>
    <font>
      <b/>
      <vertAlign val="subscript"/>
      <sz val="9"/>
      <color theme="1"/>
      <name val="Arial"/>
      <family val="2"/>
    </font>
    <font>
      <sz val="9"/>
      <color theme="1"/>
      <name val="Wingdings"/>
      <charset val="2"/>
    </font>
    <font>
      <b/>
      <sz val="12"/>
      <color theme="1"/>
      <name val="Arial"/>
      <family val="2"/>
    </font>
    <font>
      <b/>
      <vertAlign val="subscript"/>
      <sz val="12"/>
      <color theme="1"/>
      <name val="Arial"/>
      <family val="2"/>
    </font>
    <font>
      <b/>
      <vertAlign val="superscript"/>
      <sz val="12"/>
      <color theme="1"/>
      <name val="Arial"/>
      <family val="2"/>
    </font>
    <font>
      <b/>
      <vertAlign val="subscript"/>
      <sz val="9"/>
      <name val="Arial"/>
      <family val="2"/>
    </font>
    <font>
      <b/>
      <sz val="9"/>
      <color theme="9" tint="-0.249977111117893"/>
      <name val="Arial"/>
      <family val="2"/>
    </font>
    <font>
      <b/>
      <sz val="9"/>
      <color rgb="FF0000FF"/>
      <name val="Arial Narrow"/>
      <family val="2"/>
    </font>
    <font>
      <b/>
      <sz val="9"/>
      <color rgb="FFFFFFCC"/>
      <name val="Arial"/>
      <family val="2"/>
    </font>
    <font>
      <b/>
      <sz val="12"/>
      <name val="Arial Narrow"/>
      <family val="2"/>
    </font>
    <font>
      <sz val="11"/>
      <color indexed="81"/>
      <name val="Segoe UI"/>
      <family val="2"/>
    </font>
    <font>
      <sz val="8"/>
      <color theme="0" tint="-4.9989318521683403E-2"/>
      <name val="Arial"/>
      <family val="2"/>
    </font>
    <font>
      <sz val="8"/>
      <color indexed="81"/>
      <name val="Segoe UI"/>
      <family val="2"/>
    </font>
    <font>
      <sz val="10"/>
      <name val="Arial Narrow"/>
      <family val="2"/>
    </font>
    <font>
      <sz val="9"/>
      <color theme="0" tint="-4.9989318521683403E-2"/>
      <name val="Arial"/>
      <family val="2"/>
    </font>
    <font>
      <sz val="9"/>
      <color rgb="FFFFFFCC"/>
      <name val="Arial"/>
      <family val="2"/>
    </font>
    <font>
      <b/>
      <sz val="10"/>
      <color rgb="FFFFFFCC"/>
      <name val="Arial"/>
      <family val="2"/>
    </font>
    <font>
      <sz val="9"/>
      <color indexed="81"/>
      <name val="Segoe UI"/>
      <family val="2"/>
    </font>
    <font>
      <sz val="9"/>
      <color theme="0" tint="-0.14999847407452621"/>
      <name val="Arial"/>
      <family val="2"/>
    </font>
    <font>
      <sz val="7"/>
      <color theme="0"/>
      <name val="Arial"/>
      <family val="2"/>
    </font>
    <font>
      <u/>
      <sz val="8"/>
      <color theme="0"/>
      <name val="Arial"/>
      <family val="2"/>
    </font>
    <font>
      <vertAlign val="subscript"/>
      <sz val="7"/>
      <color theme="0"/>
      <name val="Arial"/>
      <family val="2"/>
    </font>
    <font>
      <b/>
      <sz val="7"/>
      <color theme="0"/>
      <name val="Arial"/>
      <family val="2"/>
    </font>
    <font>
      <b/>
      <sz val="9"/>
      <color indexed="81"/>
      <name val="Segoe UI"/>
      <family val="2"/>
    </font>
    <font>
      <b/>
      <sz val="9"/>
      <color indexed="81"/>
      <name val="Arial"/>
      <family val="2"/>
    </font>
    <font>
      <sz val="9"/>
      <color indexed="81"/>
      <name val="Arial"/>
      <family val="2"/>
    </font>
    <font>
      <sz val="8"/>
      <color indexed="81"/>
      <name val="Arial"/>
      <family val="2"/>
    </font>
    <font>
      <u/>
      <sz val="9"/>
      <color indexed="81"/>
      <name val="Arial"/>
      <family val="2"/>
    </font>
    <font>
      <b/>
      <sz val="10"/>
      <name val="Symbol"/>
      <family val="1"/>
      <charset val="2"/>
    </font>
    <font>
      <sz val="10"/>
      <color theme="0" tint="-0.14999847407452621"/>
      <name val="Arial"/>
      <family val="2"/>
    </font>
    <font>
      <b/>
      <sz val="11"/>
      <color rgb="FF008000"/>
      <name val="Arial"/>
      <family val="2"/>
    </font>
    <font>
      <sz val="11"/>
      <color theme="0" tint="-0.14999847407452621"/>
      <name val="Arial"/>
      <family val="2"/>
    </font>
    <font>
      <sz val="11"/>
      <color theme="1"/>
      <name val="Arial"/>
      <family val="2"/>
    </font>
    <font>
      <b/>
      <u/>
      <sz val="11"/>
      <name val="Arial"/>
      <family val="2"/>
    </font>
  </fonts>
  <fills count="14">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FF"/>
        <bgColor indexed="64"/>
      </patternFill>
    </fill>
    <fill>
      <patternFill patternType="solid">
        <fgColor theme="0"/>
        <bgColor indexed="64"/>
      </patternFill>
    </fill>
  </fills>
  <borders count="2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style="double">
        <color indexed="64"/>
      </bottom>
      <diagonal/>
    </border>
    <border>
      <left style="double">
        <color indexed="64"/>
      </left>
      <right/>
      <top style="thin">
        <color indexed="64"/>
      </top>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style="double">
        <color indexed="64"/>
      </right>
      <top style="double">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diagonal/>
    </border>
    <border>
      <left/>
      <right style="thin">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diagonal/>
    </border>
    <border>
      <left style="hair">
        <color indexed="64"/>
      </left>
      <right/>
      <top style="thin">
        <color indexed="64"/>
      </top>
      <bottom/>
      <diagonal/>
    </border>
    <border>
      <left style="medium">
        <color indexed="64"/>
      </left>
      <right/>
      <top style="hair">
        <color indexed="64"/>
      </top>
      <bottom style="medium">
        <color indexed="64"/>
      </bottom>
      <diagonal/>
    </border>
    <border>
      <left style="medium">
        <color indexed="64"/>
      </left>
      <right/>
      <top style="double">
        <color indexed="64"/>
      </top>
      <bottom style="hair">
        <color indexed="64"/>
      </bottom>
      <diagonal/>
    </border>
    <border>
      <left style="medium">
        <color indexed="64"/>
      </left>
      <right/>
      <top/>
      <bottom style="double">
        <color indexed="64"/>
      </bottom>
      <diagonal/>
    </border>
    <border>
      <left style="double">
        <color indexed="64"/>
      </left>
      <right/>
      <top/>
      <bottom style="hair">
        <color indexed="64"/>
      </bottom>
      <diagonal/>
    </border>
    <border>
      <left style="medium">
        <color indexed="64"/>
      </left>
      <right/>
      <top style="medium">
        <color indexed="64"/>
      </top>
      <bottom style="hair">
        <color indexed="64"/>
      </bottom>
      <diagonal/>
    </border>
    <border>
      <left/>
      <right style="medium">
        <color auto="1"/>
      </right>
      <top style="medium">
        <color auto="1"/>
      </top>
      <bottom style="double">
        <color auto="1"/>
      </bottom>
      <diagonal/>
    </border>
    <border>
      <left/>
      <right/>
      <top style="medium">
        <color indexed="64"/>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double">
        <color indexed="64"/>
      </right>
      <top style="hair">
        <color indexed="64"/>
      </top>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hair">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thin">
        <color indexed="64"/>
      </top>
      <bottom style="hair">
        <color indexed="64"/>
      </bottom>
      <diagonal/>
    </border>
    <border>
      <left/>
      <right style="hair">
        <color indexed="64"/>
      </right>
      <top style="medium">
        <color indexed="64"/>
      </top>
      <bottom/>
      <diagonal/>
    </border>
    <border>
      <left/>
      <right style="double">
        <color indexed="64"/>
      </right>
      <top style="medium">
        <color indexed="64"/>
      </top>
      <bottom/>
      <diagonal/>
    </border>
    <border>
      <left/>
      <right style="medium">
        <color indexed="64"/>
      </right>
      <top style="double">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hair">
        <color indexed="64"/>
      </left>
      <right/>
      <top style="medium">
        <color indexed="64"/>
      </top>
      <bottom/>
      <diagonal/>
    </border>
    <border>
      <left style="medium">
        <color indexed="64"/>
      </left>
      <right/>
      <top style="double">
        <color indexed="64"/>
      </top>
      <bottom style="medium">
        <color auto="1"/>
      </bottom>
      <diagonal/>
    </border>
    <border>
      <left/>
      <right/>
      <top style="double">
        <color indexed="64"/>
      </top>
      <bottom style="medium">
        <color auto="1"/>
      </bottom>
      <diagonal/>
    </border>
    <border>
      <left/>
      <right style="medium">
        <color indexed="64"/>
      </right>
      <top style="double">
        <color indexed="64"/>
      </top>
      <bottom style="medium">
        <color auto="1"/>
      </bottom>
      <diagonal/>
    </border>
    <border>
      <left style="hair">
        <color indexed="64"/>
      </left>
      <right/>
      <top style="double">
        <color indexed="64"/>
      </top>
      <bottom/>
      <diagonal/>
    </border>
    <border>
      <left/>
      <right style="hair">
        <color indexed="64"/>
      </right>
      <top style="double">
        <color indexed="64"/>
      </top>
      <bottom/>
      <diagonal/>
    </border>
    <border>
      <left style="medium">
        <color indexed="64"/>
      </left>
      <right style="double">
        <color indexed="64"/>
      </right>
      <top style="medium">
        <color indexed="64"/>
      </top>
      <bottom style="medium">
        <color indexed="64"/>
      </bottom>
      <diagonal/>
    </border>
    <border>
      <left style="medium">
        <color indexed="64"/>
      </left>
      <right/>
      <top style="hair">
        <color indexed="64"/>
      </top>
      <bottom style="thin">
        <color auto="1"/>
      </bottom>
      <diagonal/>
    </border>
    <border>
      <left/>
      <right style="thin">
        <color auto="1"/>
      </right>
      <top style="hair">
        <color indexed="64"/>
      </top>
      <bottom style="thin">
        <color auto="1"/>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double">
        <color indexed="64"/>
      </right>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double">
        <color indexed="64"/>
      </bottom>
      <diagonal/>
    </border>
    <border>
      <left style="hair">
        <color indexed="64"/>
      </left>
      <right style="medium">
        <color indexed="64"/>
      </right>
      <top/>
      <bottom/>
      <diagonal/>
    </border>
    <border>
      <left style="medium">
        <color indexed="64"/>
      </left>
      <right/>
      <top style="hair">
        <color indexed="64"/>
      </top>
      <bottom style="double">
        <color indexed="64"/>
      </bottom>
      <diagonal/>
    </border>
    <border>
      <left/>
      <right style="double">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double">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double">
        <color auto="1"/>
      </right>
      <top style="medium">
        <color indexed="64"/>
      </top>
      <bottom style="medium">
        <color indexed="64"/>
      </bottom>
      <diagonal/>
    </border>
    <border>
      <left/>
      <right style="double">
        <color auto="1"/>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auto="1"/>
      </right>
      <top style="medium">
        <color indexed="64"/>
      </top>
      <bottom style="hair">
        <color auto="1"/>
      </bottom>
      <diagonal/>
    </border>
    <border>
      <left style="thin">
        <color indexed="64"/>
      </left>
      <right style="double">
        <color indexed="64"/>
      </right>
      <top/>
      <bottom style="double">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medium">
        <color indexed="64"/>
      </top>
      <bottom style="hair">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hair">
        <color indexed="64"/>
      </right>
      <top/>
      <bottom style="double">
        <color indexed="64"/>
      </bottom>
      <diagonal/>
    </border>
    <border>
      <left style="medium">
        <color indexed="64"/>
      </left>
      <right style="double">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thin">
        <color indexed="64"/>
      </top>
      <bottom/>
      <diagonal/>
    </border>
  </borders>
  <cellStyleXfs count="13">
    <xf numFmtId="0" fontId="0" fillId="0" borderId="0"/>
    <xf numFmtId="0" fontId="13" fillId="0" borderId="0"/>
    <xf numFmtId="0" fontId="12" fillId="0" borderId="0"/>
    <xf numFmtId="0" fontId="19" fillId="0" borderId="0"/>
    <xf numFmtId="0" fontId="33" fillId="0" borderId="0" applyNumberFormat="0" applyFill="0" applyBorder="0" applyAlignment="0" applyProtection="0">
      <alignment vertical="top"/>
      <protection locked="0"/>
    </xf>
    <xf numFmtId="0" fontId="13" fillId="0" borderId="0"/>
    <xf numFmtId="0" fontId="12" fillId="0" borderId="0"/>
    <xf numFmtId="170" fontId="13" fillId="0" borderId="0" applyFont="0" applyFill="0" applyBorder="0" applyAlignment="0" applyProtection="0"/>
    <xf numFmtId="44" fontId="13" fillId="0" borderId="0" applyFont="0" applyFill="0" applyBorder="0" applyAlignment="0" applyProtection="0"/>
    <xf numFmtId="0" fontId="13" fillId="0" borderId="0"/>
    <xf numFmtId="0" fontId="12" fillId="0" borderId="0"/>
    <xf numFmtId="0" fontId="13" fillId="0" borderId="0"/>
    <xf numFmtId="0" fontId="10" fillId="0" borderId="0"/>
  </cellStyleXfs>
  <cellXfs count="1541">
    <xf numFmtId="0" fontId="0" fillId="0" borderId="0" xfId="0"/>
    <xf numFmtId="0" fontId="14" fillId="0" borderId="1" xfId="1" applyFont="1" applyBorder="1" applyAlignment="1" applyProtection="1">
      <alignment vertical="center"/>
    </xf>
    <xf numFmtId="0" fontId="13" fillId="0" borderId="2" xfId="1" applyFont="1" applyBorder="1" applyAlignment="1" applyProtection="1">
      <alignment vertical="center"/>
    </xf>
    <xf numFmtId="0" fontId="13" fillId="0" borderId="2" xfId="1" applyBorder="1" applyAlignment="1" applyProtection="1">
      <alignment vertical="center"/>
    </xf>
    <xf numFmtId="0" fontId="13" fillId="0" borderId="3" xfId="1" applyBorder="1" applyAlignment="1" applyProtection="1">
      <alignment vertical="center"/>
    </xf>
    <xf numFmtId="0" fontId="14" fillId="0" borderId="4" xfId="1" applyFont="1" applyBorder="1" applyAlignment="1" applyProtection="1">
      <alignment vertical="center"/>
    </xf>
    <xf numFmtId="0" fontId="13" fillId="0" borderId="0" xfId="1" applyFont="1" applyBorder="1" applyAlignment="1" applyProtection="1">
      <alignment vertical="center"/>
    </xf>
    <xf numFmtId="0" fontId="13" fillId="0" borderId="0" xfId="1" applyBorder="1" applyAlignment="1" applyProtection="1">
      <alignment vertical="center"/>
    </xf>
    <xf numFmtId="0" fontId="13" fillId="0" borderId="5" xfId="1" applyBorder="1" applyAlignment="1" applyProtection="1">
      <alignment vertical="center"/>
    </xf>
    <xf numFmtId="0" fontId="13" fillId="0" borderId="15" xfId="1" applyBorder="1" applyAlignment="1" applyProtection="1">
      <alignment vertical="center"/>
    </xf>
    <xf numFmtId="0" fontId="21" fillId="0" borderId="15" xfId="1" applyFont="1" applyBorder="1" applyAlignment="1" applyProtection="1">
      <alignment vertical="center"/>
    </xf>
    <xf numFmtId="14" fontId="22" fillId="0" borderId="15" xfId="1" applyNumberFormat="1" applyFont="1" applyFill="1" applyBorder="1" applyAlignment="1" applyProtection="1">
      <alignment vertical="center"/>
    </xf>
    <xf numFmtId="0" fontId="13" fillId="0" borderId="21" xfId="1" applyBorder="1" applyAlignment="1" applyProtection="1">
      <alignment vertical="center"/>
    </xf>
    <xf numFmtId="0" fontId="22" fillId="0" borderId="21" xfId="1" applyFont="1" applyBorder="1" applyAlignment="1" applyProtection="1">
      <alignment vertical="center"/>
    </xf>
    <xf numFmtId="0" fontId="13" fillId="0" borderId="1" xfId="1" applyBorder="1" applyAlignment="1">
      <alignment vertical="center"/>
    </xf>
    <xf numFmtId="0" fontId="18" fillId="0" borderId="0" xfId="1" applyFont="1" applyFill="1" applyBorder="1" applyAlignment="1">
      <alignment vertical="center"/>
    </xf>
    <xf numFmtId="0" fontId="13" fillId="6" borderId="0" xfId="5" applyFill="1" applyAlignment="1">
      <alignment vertical="center"/>
    </xf>
    <xf numFmtId="0" fontId="13" fillId="0" borderId="0" xfId="5" applyAlignment="1">
      <alignment vertical="center"/>
    </xf>
    <xf numFmtId="0" fontId="18" fillId="0" borderId="91" xfId="5" applyFont="1" applyBorder="1" applyAlignment="1">
      <alignment vertical="center"/>
    </xf>
    <xf numFmtId="0" fontId="18" fillId="0" borderId="0" xfId="5" applyFont="1" applyBorder="1" applyAlignment="1">
      <alignment vertical="center"/>
    </xf>
    <xf numFmtId="0" fontId="18" fillId="0" borderId="92" xfId="5" applyFont="1" applyBorder="1" applyAlignment="1">
      <alignment vertical="center"/>
    </xf>
    <xf numFmtId="0" fontId="13" fillId="0" borderId="0" xfId="5" applyBorder="1" applyAlignment="1">
      <alignment vertical="center"/>
    </xf>
    <xf numFmtId="0" fontId="18" fillId="0" borderId="0" xfId="5" applyFont="1" applyBorder="1" applyAlignment="1">
      <alignment vertical="top" wrapText="1"/>
    </xf>
    <xf numFmtId="0" fontId="18" fillId="0" borderId="0" xfId="5" quotePrefix="1" applyFont="1" applyBorder="1" applyAlignment="1">
      <alignment vertical="center"/>
    </xf>
    <xf numFmtId="0" fontId="18" fillId="3" borderId="0" xfId="5" applyFont="1" applyFill="1" applyBorder="1" applyAlignment="1">
      <alignment vertical="center"/>
    </xf>
    <xf numFmtId="0" fontId="18" fillId="4" borderId="0" xfId="5" applyFont="1" applyFill="1" applyBorder="1" applyAlignment="1">
      <alignment vertical="center"/>
    </xf>
    <xf numFmtId="0" fontId="13" fillId="8" borderId="0" xfId="5" applyFill="1" applyBorder="1" applyAlignment="1">
      <alignment vertical="center"/>
    </xf>
    <xf numFmtId="0" fontId="18" fillId="8" borderId="0" xfId="5" applyFont="1" applyFill="1" applyBorder="1" applyAlignment="1">
      <alignment vertical="center"/>
    </xf>
    <xf numFmtId="0" fontId="38" fillId="0" borderId="0" xfId="5" applyFont="1" applyBorder="1" applyAlignment="1">
      <alignment vertical="center"/>
    </xf>
    <xf numFmtId="0" fontId="41" fillId="6" borderId="0" xfId="5" applyFont="1" applyFill="1" applyBorder="1" applyAlignment="1">
      <alignment vertical="center"/>
    </xf>
    <xf numFmtId="0" fontId="42" fillId="0" borderId="91" xfId="5" applyFont="1" applyBorder="1" applyAlignment="1">
      <alignment vertical="center"/>
    </xf>
    <xf numFmtId="0" fontId="42" fillId="0" borderId="44" xfId="5" applyFont="1" applyBorder="1" applyAlignment="1">
      <alignment vertical="center"/>
    </xf>
    <xf numFmtId="0" fontId="13" fillId="0" borderId="43" xfId="5" applyBorder="1" applyAlignment="1">
      <alignment vertical="center"/>
    </xf>
    <xf numFmtId="0" fontId="18" fillId="0" borderId="43" xfId="5" applyFont="1" applyBorder="1" applyAlignment="1">
      <alignment vertical="center"/>
    </xf>
    <xf numFmtId="0" fontId="18" fillId="0" borderId="93" xfId="5" applyFont="1" applyBorder="1" applyAlignment="1">
      <alignment vertical="center"/>
    </xf>
    <xf numFmtId="0" fontId="14" fillId="0" borderId="1" xfId="5" applyFont="1" applyBorder="1" applyAlignment="1">
      <alignment vertical="center"/>
    </xf>
    <xf numFmtId="0" fontId="14" fillId="0" borderId="2" xfId="5" applyFont="1" applyBorder="1" applyAlignment="1">
      <alignment vertical="center"/>
    </xf>
    <xf numFmtId="0" fontId="29" fillId="0" borderId="2" xfId="5" applyFont="1" applyFill="1" applyBorder="1" applyAlignment="1">
      <alignment vertical="center"/>
    </xf>
    <xf numFmtId="0" fontId="46" fillId="0" borderId="2" xfId="5" applyFont="1" applyFill="1" applyBorder="1" applyAlignment="1" applyProtection="1">
      <alignment vertical="center"/>
    </xf>
    <xf numFmtId="0" fontId="47" fillId="0" borderId="2" xfId="5" applyFont="1" applyBorder="1" applyAlignment="1" applyProtection="1">
      <alignment vertical="center"/>
    </xf>
    <xf numFmtId="2" fontId="18" fillId="0" borderId="20" xfId="5" applyNumberFormat="1" applyFont="1" applyBorder="1" applyAlignment="1" applyProtection="1">
      <alignment horizontal="left" vertical="center"/>
    </xf>
    <xf numFmtId="2" fontId="18" fillId="0" borderId="21" xfId="5" applyNumberFormat="1" applyFont="1" applyBorder="1" applyAlignment="1" applyProtection="1">
      <alignment vertical="center"/>
    </xf>
    <xf numFmtId="169" fontId="32" fillId="0" borderId="15" xfId="5" applyNumberFormat="1" applyFont="1" applyFill="1" applyBorder="1" applyAlignment="1">
      <alignment vertical="center"/>
    </xf>
    <xf numFmtId="0" fontId="18" fillId="0" borderId="16" xfId="5" applyFont="1" applyBorder="1" applyAlignment="1" applyProtection="1">
      <alignment vertical="center"/>
      <protection locked="0"/>
    </xf>
    <xf numFmtId="2" fontId="18" fillId="0" borderId="36" xfId="5" applyNumberFormat="1" applyFont="1" applyBorder="1" applyAlignment="1" applyProtection="1">
      <alignment horizontal="left" vertical="center"/>
    </xf>
    <xf numFmtId="2" fontId="18" fillId="0" borderId="23" xfId="5" applyNumberFormat="1" applyFont="1" applyBorder="1" applyAlignment="1" applyProtection="1">
      <alignment vertical="center"/>
    </xf>
    <xf numFmtId="0" fontId="13" fillId="0" borderId="0" xfId="5"/>
    <xf numFmtId="0" fontId="48" fillId="0" borderId="0" xfId="5" applyFont="1" applyBorder="1" applyAlignment="1">
      <alignment vertical="center"/>
    </xf>
    <xf numFmtId="0" fontId="18" fillId="0" borderId="0" xfId="5" applyFont="1" applyBorder="1" applyAlignment="1" applyProtection="1">
      <alignment vertical="center"/>
      <protection locked="0"/>
    </xf>
    <xf numFmtId="0" fontId="18" fillId="0" borderId="4" xfId="5" applyFont="1" applyBorder="1" applyAlignment="1" applyProtection="1">
      <alignment vertical="center"/>
      <protection locked="0"/>
    </xf>
    <xf numFmtId="0" fontId="38" fillId="0" borderId="0" xfId="5" applyFont="1" applyBorder="1" applyAlignment="1" applyProtection="1">
      <alignment vertical="center"/>
      <protection locked="0"/>
    </xf>
    <xf numFmtId="0" fontId="18" fillId="0" borderId="5" xfId="5" applyFont="1" applyBorder="1" applyAlignment="1" applyProtection="1">
      <alignment vertical="center"/>
      <protection locked="0"/>
    </xf>
    <xf numFmtId="0" fontId="18" fillId="0" borderId="6" xfId="5" applyFont="1" applyBorder="1" applyAlignment="1" applyProtection="1">
      <alignment vertical="center"/>
      <protection locked="0"/>
    </xf>
    <xf numFmtId="0" fontId="18" fillId="0" borderId="7" xfId="5" applyFont="1" applyBorder="1" applyAlignment="1" applyProtection="1">
      <alignment vertical="center"/>
      <protection locked="0"/>
    </xf>
    <xf numFmtId="0" fontId="18" fillId="0" borderId="8" xfId="5" applyFont="1" applyBorder="1" applyAlignment="1" applyProtection="1">
      <alignment vertical="center"/>
      <protection locked="0"/>
    </xf>
    <xf numFmtId="0" fontId="15" fillId="0" borderId="0" xfId="5" applyFont="1" applyAlignment="1">
      <alignment vertical="center"/>
    </xf>
    <xf numFmtId="0" fontId="18" fillId="0" borderId="0" xfId="5" applyFont="1" applyAlignment="1">
      <alignment horizontal="left" vertical="top" wrapText="1"/>
    </xf>
    <xf numFmtId="0" fontId="13" fillId="0" borderId="0" xfId="5" applyBorder="1"/>
    <xf numFmtId="0" fontId="13" fillId="0" borderId="7" xfId="5" applyBorder="1"/>
    <xf numFmtId="0" fontId="18" fillId="0" borderId="12" xfId="1" applyFont="1" applyBorder="1" applyAlignment="1" applyProtection="1">
      <alignment vertical="center"/>
    </xf>
    <xf numFmtId="0" fontId="21" fillId="0" borderId="11" xfId="1" applyFont="1" applyBorder="1" applyAlignment="1" applyProtection="1">
      <alignment vertical="center"/>
    </xf>
    <xf numFmtId="0" fontId="18" fillId="0" borderId="12" xfId="1" applyFont="1" applyBorder="1" applyAlignment="1" applyProtection="1">
      <alignment horizontal="right" vertical="center"/>
    </xf>
    <xf numFmtId="0" fontId="13" fillId="0" borderId="2" xfId="1" applyBorder="1" applyAlignment="1" applyProtection="1">
      <alignment vertical="center" wrapText="1" shrinkToFit="1"/>
    </xf>
    <xf numFmtId="0" fontId="13" fillId="0" borderId="7" xfId="1" applyBorder="1" applyAlignment="1" applyProtection="1">
      <alignment vertical="center" wrapText="1" shrinkToFit="1"/>
    </xf>
    <xf numFmtId="0" fontId="20" fillId="0" borderId="12" xfId="1" applyFont="1" applyBorder="1" applyAlignment="1" applyProtection="1">
      <alignment horizontal="right" vertical="center"/>
    </xf>
    <xf numFmtId="14" fontId="54" fillId="0" borderId="15" xfId="1" applyNumberFormat="1" applyFont="1" applyFill="1" applyBorder="1" applyAlignment="1" applyProtection="1">
      <alignment vertical="center"/>
    </xf>
    <xf numFmtId="14" fontId="22" fillId="0" borderId="14" xfId="1" quotePrefix="1" applyNumberFormat="1" applyFont="1" applyFill="1" applyBorder="1" applyAlignment="1" applyProtection="1">
      <alignment horizontal="right" vertical="center"/>
    </xf>
    <xf numFmtId="0" fontId="13" fillId="0" borderId="4" xfId="5" applyBorder="1"/>
    <xf numFmtId="0" fontId="19" fillId="0" borderId="0" xfId="3"/>
    <xf numFmtId="0" fontId="19" fillId="6" borderId="0" xfId="3" applyFill="1"/>
    <xf numFmtId="0" fontId="58" fillId="6" borderId="0" xfId="3" applyFont="1" applyFill="1"/>
    <xf numFmtId="0" fontId="58" fillId="0" borderId="0" xfId="3" applyFont="1"/>
    <xf numFmtId="0" fontId="58" fillId="6" borderId="0" xfId="3" applyFont="1" applyFill="1" applyBorder="1"/>
    <xf numFmtId="0" fontId="19" fillId="6" borderId="0" xfId="3" applyFill="1" applyBorder="1"/>
    <xf numFmtId="0" fontId="11" fillId="0" borderId="0" xfId="3" applyFont="1" applyAlignment="1">
      <alignment vertical="center"/>
    </xf>
    <xf numFmtId="0" fontId="11" fillId="6" borderId="0" xfId="3" applyFont="1" applyFill="1" applyAlignment="1">
      <alignment vertical="center"/>
    </xf>
    <xf numFmtId="0" fontId="11" fillId="0" borderId="7" xfId="3" applyFont="1" applyBorder="1" applyAlignment="1">
      <alignment vertical="center"/>
    </xf>
    <xf numFmtId="0" fontId="11" fillId="0" borderId="6" xfId="3" applyFont="1" applyBorder="1" applyAlignment="1">
      <alignment vertical="center"/>
    </xf>
    <xf numFmtId="0" fontId="11" fillId="0" borderId="5" xfId="3" applyFont="1" applyBorder="1" applyAlignment="1">
      <alignment vertical="center"/>
    </xf>
    <xf numFmtId="0" fontId="11" fillId="0" borderId="0" xfId="3" applyFont="1" applyBorder="1" applyAlignment="1">
      <alignment vertical="center"/>
    </xf>
    <xf numFmtId="0" fontId="11" fillId="0" borderId="4" xfId="3" applyFont="1" applyBorder="1" applyAlignment="1">
      <alignment vertical="center"/>
    </xf>
    <xf numFmtId="0" fontId="11" fillId="0" borderId="33" xfId="3" applyFont="1" applyBorder="1" applyAlignment="1">
      <alignment vertical="center"/>
    </xf>
    <xf numFmtId="0" fontId="11" fillId="6" borderId="97" xfId="3" applyFont="1" applyFill="1" applyBorder="1" applyAlignment="1">
      <alignment vertical="center"/>
    </xf>
    <xf numFmtId="0" fontId="11" fillId="6" borderId="61" xfId="3" applyFont="1" applyFill="1" applyBorder="1" applyAlignment="1">
      <alignment vertical="center"/>
    </xf>
    <xf numFmtId="0" fontId="28" fillId="6" borderId="61" xfId="3" applyFont="1" applyFill="1" applyBorder="1" applyAlignment="1">
      <alignment vertical="center"/>
    </xf>
    <xf numFmtId="0" fontId="64" fillId="0" borderId="0" xfId="3" applyFont="1" applyBorder="1" applyAlignment="1">
      <alignment vertical="center"/>
    </xf>
    <xf numFmtId="0" fontId="11" fillId="0" borderId="118" xfId="3" applyFont="1" applyBorder="1" applyAlignment="1">
      <alignment vertical="center"/>
    </xf>
    <xf numFmtId="0" fontId="11" fillId="0" borderId="85" xfId="3" applyFont="1" applyBorder="1" applyAlignment="1">
      <alignment vertical="center"/>
    </xf>
    <xf numFmtId="0" fontId="11" fillId="0" borderId="114" xfId="3" applyFont="1" applyBorder="1" applyAlignment="1">
      <alignment vertical="center"/>
    </xf>
    <xf numFmtId="0" fontId="28" fillId="4" borderId="72" xfId="3" applyFont="1" applyFill="1" applyBorder="1" applyAlignment="1">
      <alignment vertical="top"/>
    </xf>
    <xf numFmtId="0" fontId="28" fillId="4" borderId="72" xfId="3" applyFont="1" applyFill="1" applyBorder="1" applyAlignment="1"/>
    <xf numFmtId="0" fontId="60" fillId="0" borderId="0" xfId="3" applyFont="1" applyBorder="1" applyAlignment="1">
      <alignment vertical="top"/>
    </xf>
    <xf numFmtId="0" fontId="11" fillId="0" borderId="50" xfId="3" applyFont="1" applyBorder="1" applyAlignment="1">
      <alignment vertical="center"/>
    </xf>
    <xf numFmtId="0" fontId="64" fillId="0" borderId="43" xfId="3" applyFont="1" applyBorder="1" applyAlignment="1">
      <alignment vertical="center"/>
    </xf>
    <xf numFmtId="0" fontId="11" fillId="0" borderId="43" xfId="3" applyFont="1" applyBorder="1" applyAlignment="1">
      <alignment vertical="center"/>
    </xf>
    <xf numFmtId="0" fontId="11" fillId="0" borderId="0" xfId="3" quotePrefix="1" applyFont="1" applyBorder="1" applyAlignment="1">
      <alignment vertical="center"/>
    </xf>
    <xf numFmtId="0" fontId="28" fillId="0" borderId="0" xfId="3" applyFont="1" applyBorder="1" applyAlignment="1">
      <alignment vertical="center"/>
    </xf>
    <xf numFmtId="0" fontId="28" fillId="0" borderId="75" xfId="3" applyFont="1" applyBorder="1" applyAlignment="1">
      <alignment vertical="center"/>
    </xf>
    <xf numFmtId="0" fontId="11" fillId="0" borderId="2" xfId="3" applyFont="1" applyBorder="1" applyAlignment="1">
      <alignment vertical="center"/>
    </xf>
    <xf numFmtId="0" fontId="28" fillId="0" borderId="80" xfId="3" applyFont="1" applyBorder="1" applyAlignment="1">
      <alignment vertical="center"/>
    </xf>
    <xf numFmtId="0" fontId="65" fillId="0" borderId="0" xfId="3" applyFont="1" applyBorder="1" applyAlignment="1">
      <alignment vertical="center"/>
    </xf>
    <xf numFmtId="0" fontId="13" fillId="0" borderId="12" xfId="5" applyBorder="1" applyAlignment="1">
      <alignment horizontal="center" vertical="center"/>
    </xf>
    <xf numFmtId="0" fontId="13" fillId="0" borderId="36" xfId="1" applyBorder="1"/>
    <xf numFmtId="0" fontId="54" fillId="0" borderId="2" xfId="1" applyFont="1" applyBorder="1" applyAlignment="1">
      <alignment vertical="center"/>
    </xf>
    <xf numFmtId="0" fontId="22" fillId="0" borderId="2" xfId="1" applyFont="1" applyFill="1" applyBorder="1" applyAlignment="1">
      <alignment vertical="center"/>
    </xf>
    <xf numFmtId="0" fontId="22" fillId="0" borderId="1" xfId="1" applyFont="1" applyFill="1" applyBorder="1" applyAlignment="1">
      <alignment horizontal="right" vertical="center"/>
    </xf>
    <xf numFmtId="0" fontId="18" fillId="0" borderId="2" xfId="3" applyFont="1" applyBorder="1" applyAlignment="1" applyProtection="1">
      <alignment vertical="center"/>
    </xf>
    <xf numFmtId="2" fontId="22" fillId="0" borderId="2" xfId="3" applyNumberFormat="1" applyFont="1" applyBorder="1" applyAlignment="1">
      <alignment horizontal="right" vertical="center"/>
    </xf>
    <xf numFmtId="14" fontId="54" fillId="0" borderId="23" xfId="1" applyNumberFormat="1" applyFont="1" applyFill="1" applyBorder="1" applyAlignment="1" applyProtection="1">
      <alignment vertical="center"/>
    </xf>
    <xf numFmtId="14" fontId="22" fillId="0" borderId="23" xfId="1" applyNumberFormat="1" applyFont="1" applyFill="1" applyBorder="1" applyAlignment="1" applyProtection="1">
      <alignment vertical="center"/>
    </xf>
    <xf numFmtId="14" fontId="22" fillId="0" borderId="36" xfId="1" quotePrefix="1" applyNumberFormat="1" applyFont="1" applyFill="1" applyBorder="1" applyAlignment="1" applyProtection="1">
      <alignment horizontal="right" vertical="center"/>
    </xf>
    <xf numFmtId="0" fontId="18" fillId="0" borderId="23" xfId="3" applyFont="1" applyBorder="1" applyAlignment="1" applyProtection="1">
      <alignment vertical="center"/>
    </xf>
    <xf numFmtId="0" fontId="20" fillId="0" borderId="23" xfId="3" applyFont="1" applyBorder="1" applyAlignment="1" applyProtection="1">
      <alignment vertical="center"/>
    </xf>
    <xf numFmtId="0" fontId="19" fillId="0" borderId="23" xfId="3" applyBorder="1"/>
    <xf numFmtId="0" fontId="22" fillId="0" borderId="23" xfId="3" applyFont="1" applyFill="1" applyBorder="1" applyAlignment="1">
      <alignment horizontal="right" vertical="center"/>
    </xf>
    <xf numFmtId="0" fontId="18" fillId="0" borderId="0" xfId="1" applyFont="1" applyBorder="1" applyAlignment="1" applyProtection="1">
      <alignment vertical="center"/>
      <protection locked="0"/>
    </xf>
    <xf numFmtId="0" fontId="28" fillId="6" borderId="97" xfId="3" applyFont="1" applyFill="1" applyBorder="1" applyAlignment="1">
      <alignment vertical="center"/>
    </xf>
    <xf numFmtId="0" fontId="18" fillId="0" borderId="43" xfId="1" applyFont="1" applyBorder="1" applyAlignment="1" applyProtection="1">
      <alignment vertical="center"/>
      <protection locked="0"/>
    </xf>
    <xf numFmtId="0" fontId="47" fillId="0" borderId="0" xfId="1" applyFont="1" applyBorder="1" applyAlignment="1" applyProtection="1">
      <alignment vertical="center"/>
    </xf>
    <xf numFmtId="0" fontId="13" fillId="0" borderId="2" xfId="1" applyBorder="1" applyAlignment="1" applyProtection="1"/>
    <xf numFmtId="0" fontId="13" fillId="6" borderId="0" xfId="1" applyFill="1" applyBorder="1" applyProtection="1"/>
    <xf numFmtId="0" fontId="13" fillId="6" borderId="0" xfId="1" applyFill="1" applyProtection="1"/>
    <xf numFmtId="0" fontId="13" fillId="9" borderId="0" xfId="1" applyFill="1" applyProtection="1"/>
    <xf numFmtId="0" fontId="13" fillId="0" borderId="0" xfId="1" applyProtection="1"/>
    <xf numFmtId="0" fontId="18" fillId="0" borderId="0" xfId="1" applyFont="1" applyBorder="1" applyAlignment="1" applyProtection="1">
      <alignment vertical="center"/>
    </xf>
    <xf numFmtId="0" fontId="13" fillId="0" borderId="7" xfId="1" applyBorder="1" applyAlignment="1" applyProtection="1"/>
    <xf numFmtId="0" fontId="13" fillId="6" borderId="52" xfId="1" applyFill="1" applyBorder="1" applyProtection="1"/>
    <xf numFmtId="0" fontId="13" fillId="0" borderId="20" xfId="1" applyBorder="1" applyAlignment="1" applyProtection="1">
      <alignment vertical="center"/>
    </xf>
    <xf numFmtId="0" fontId="54" fillId="0" borderId="21" xfId="1" applyFont="1" applyBorder="1" applyAlignment="1" applyProtection="1">
      <alignment vertical="center"/>
    </xf>
    <xf numFmtId="0" fontId="22" fillId="0" borderId="21" xfId="1" applyFont="1" applyFill="1" applyBorder="1" applyAlignment="1" applyProtection="1">
      <alignment vertical="center"/>
    </xf>
    <xf numFmtId="0" fontId="22" fillId="0" borderId="20" xfId="1" applyFont="1" applyFill="1" applyBorder="1" applyAlignment="1" applyProtection="1">
      <alignment horizontal="right" vertical="center"/>
    </xf>
    <xf numFmtId="2" fontId="22" fillId="0" borderId="21" xfId="1" applyNumberFormat="1" applyFont="1" applyBorder="1" applyAlignment="1" applyProtection="1">
      <alignment horizontal="right" vertical="center"/>
    </xf>
    <xf numFmtId="0" fontId="13" fillId="6" borderId="61" xfId="1" applyFill="1" applyBorder="1" applyProtection="1"/>
    <xf numFmtId="0" fontId="13" fillId="0" borderId="36" xfId="1" applyBorder="1" applyProtection="1"/>
    <xf numFmtId="0" fontId="22" fillId="0" borderId="15" xfId="1" applyFont="1" applyBorder="1" applyAlignment="1" applyProtection="1">
      <alignment horizontal="right" vertical="center"/>
    </xf>
    <xf numFmtId="0" fontId="11" fillId="6" borderId="131" xfId="3" applyFont="1" applyFill="1" applyBorder="1" applyAlignment="1" applyProtection="1">
      <alignment vertical="center"/>
    </xf>
    <xf numFmtId="0" fontId="18" fillId="6" borderId="96" xfId="1" applyFont="1" applyFill="1" applyBorder="1" applyAlignment="1" applyProtection="1">
      <alignment vertical="center"/>
    </xf>
    <xf numFmtId="0" fontId="20" fillId="11" borderId="153" xfId="1" applyFont="1" applyFill="1" applyBorder="1" applyAlignment="1" applyProtection="1">
      <alignment vertical="center"/>
    </xf>
    <xf numFmtId="0" fontId="18" fillId="11" borderId="153" xfId="1" applyFont="1" applyFill="1" applyBorder="1" applyAlignment="1" applyProtection="1">
      <alignment vertical="center"/>
    </xf>
    <xf numFmtId="0" fontId="18" fillId="11" borderId="154" xfId="1" applyFont="1" applyFill="1" applyBorder="1" applyAlignment="1" applyProtection="1">
      <alignment vertical="center"/>
    </xf>
    <xf numFmtId="0" fontId="39" fillId="0" borderId="17" xfId="1" applyFont="1" applyBorder="1" applyAlignment="1" applyProtection="1">
      <alignment vertical="center"/>
    </xf>
    <xf numFmtId="0" fontId="7" fillId="6" borderId="68" xfId="3" applyFont="1" applyFill="1" applyBorder="1" applyAlignment="1" applyProtection="1">
      <alignment vertical="center"/>
    </xf>
    <xf numFmtId="0" fontId="18" fillId="6" borderId="33" xfId="1" applyFont="1" applyFill="1" applyBorder="1" applyAlignment="1" applyProtection="1">
      <alignment vertical="center"/>
    </xf>
    <xf numFmtId="4" fontId="18" fillId="6" borderId="69" xfId="1" applyNumberFormat="1" applyFont="1" applyFill="1" applyBorder="1" applyAlignment="1" applyProtection="1">
      <alignment vertical="center"/>
    </xf>
    <xf numFmtId="4" fontId="18" fillId="6" borderId="68" xfId="1" applyNumberFormat="1" applyFont="1" applyFill="1" applyBorder="1" applyAlignment="1" applyProtection="1">
      <alignment vertical="center"/>
    </xf>
    <xf numFmtId="0" fontId="18" fillId="9" borderId="0" xfId="1" applyFont="1" applyFill="1" applyAlignment="1" applyProtection="1">
      <alignment vertical="center"/>
    </xf>
    <xf numFmtId="0" fontId="18" fillId="0" borderId="0" xfId="1" applyFont="1" applyAlignment="1" applyProtection="1">
      <alignment vertical="center"/>
    </xf>
    <xf numFmtId="0" fontId="18" fillId="5" borderId="119" xfId="1" applyFont="1" applyFill="1" applyBorder="1" applyAlignment="1" applyProtection="1">
      <alignment vertical="center"/>
    </xf>
    <xf numFmtId="0" fontId="18" fillId="5" borderId="43" xfId="1" applyFont="1" applyFill="1" applyBorder="1" applyAlignment="1" applyProtection="1">
      <alignment vertical="center"/>
    </xf>
    <xf numFmtId="0" fontId="18" fillId="5" borderId="113" xfId="1" applyFont="1" applyFill="1" applyBorder="1" applyAlignment="1" applyProtection="1">
      <alignment vertical="center"/>
    </xf>
    <xf numFmtId="0" fontId="18" fillId="7" borderId="140" xfId="1" applyFont="1" applyFill="1" applyBorder="1" applyAlignment="1" applyProtection="1">
      <alignment vertical="center"/>
    </xf>
    <xf numFmtId="0" fontId="20" fillId="7" borderId="133" xfId="1" quotePrefix="1" applyFont="1" applyFill="1" applyBorder="1" applyAlignment="1" applyProtection="1">
      <alignment vertical="center"/>
    </xf>
    <xf numFmtId="0" fontId="18" fillId="7" borderId="133" xfId="1" applyFont="1" applyFill="1" applyBorder="1" applyAlignment="1" applyProtection="1">
      <alignment vertical="center"/>
    </xf>
    <xf numFmtId="0" fontId="18" fillId="7" borderId="132" xfId="1" applyFont="1" applyFill="1" applyBorder="1" applyAlignment="1" applyProtection="1">
      <alignment vertical="center"/>
    </xf>
    <xf numFmtId="0" fontId="8" fillId="6" borderId="68" xfId="3" applyFont="1" applyFill="1" applyBorder="1" applyAlignment="1" applyProtection="1">
      <alignment vertical="center"/>
    </xf>
    <xf numFmtId="0" fontId="20" fillId="5" borderId="142" xfId="1" applyFont="1" applyFill="1" applyBorder="1" applyAlignment="1" applyProtection="1">
      <alignment vertical="center"/>
    </xf>
    <xf numFmtId="0" fontId="69" fillId="5" borderId="29" xfId="1" applyFont="1" applyFill="1" applyBorder="1" applyAlignment="1" applyProtection="1">
      <alignment vertical="center"/>
    </xf>
    <xf numFmtId="0" fontId="20" fillId="5" borderId="29" xfId="1" applyFont="1" applyFill="1" applyBorder="1" applyAlignment="1" applyProtection="1">
      <alignment vertical="center"/>
    </xf>
    <xf numFmtId="0" fontId="20" fillId="5" borderId="29" xfId="0" applyFont="1" applyFill="1" applyBorder="1" applyAlignment="1" applyProtection="1">
      <alignment vertical="center"/>
    </xf>
    <xf numFmtId="0" fontId="37" fillId="5" borderId="17" xfId="0" applyFont="1" applyFill="1" applyBorder="1" applyAlignment="1" applyProtection="1">
      <alignment vertical="center"/>
    </xf>
    <xf numFmtId="0" fontId="37" fillId="5" borderId="117" xfId="0" applyFont="1" applyFill="1" applyBorder="1" applyAlignment="1" applyProtection="1">
      <alignment vertical="center"/>
    </xf>
    <xf numFmtId="0" fontId="18" fillId="5" borderId="128" xfId="1" applyFont="1" applyFill="1" applyBorder="1" applyAlignment="1" applyProtection="1">
      <alignment vertical="center"/>
    </xf>
    <xf numFmtId="0" fontId="18" fillId="5" borderId="31" xfId="1" applyFont="1" applyFill="1" applyBorder="1" applyAlignment="1" applyProtection="1">
      <alignment vertical="center"/>
    </xf>
    <xf numFmtId="0" fontId="18" fillId="5" borderId="31" xfId="1" applyFont="1" applyFill="1" applyBorder="1" applyAlignment="1" applyProtection="1">
      <alignment horizontal="right" vertical="center"/>
    </xf>
    <xf numFmtId="0" fontId="18" fillId="5" borderId="143" xfId="1" applyFont="1" applyFill="1" applyBorder="1" applyAlignment="1" applyProtection="1">
      <alignment vertical="center"/>
    </xf>
    <xf numFmtId="0" fontId="18" fillId="5" borderId="29" xfId="1" applyFont="1" applyFill="1" applyBorder="1" applyAlignment="1" applyProtection="1">
      <alignment vertical="center"/>
    </xf>
    <xf numFmtId="0" fontId="18" fillId="5" borderId="29" xfId="1" applyFont="1" applyFill="1" applyBorder="1" applyAlignment="1" applyProtection="1">
      <alignment horizontal="right" vertical="center"/>
    </xf>
    <xf numFmtId="0" fontId="18" fillId="5" borderId="60" xfId="1" applyFont="1" applyFill="1" applyBorder="1" applyAlignment="1" applyProtection="1">
      <alignment vertical="center"/>
    </xf>
    <xf numFmtId="0" fontId="18" fillId="5" borderId="61" xfId="1" applyFont="1" applyFill="1" applyBorder="1" applyAlignment="1" applyProtection="1">
      <alignment vertical="center"/>
    </xf>
    <xf numFmtId="0" fontId="18" fillId="5" borderId="61" xfId="1" quotePrefix="1" applyFont="1" applyFill="1" applyBorder="1" applyAlignment="1" applyProtection="1">
      <alignment horizontal="right" vertical="center"/>
    </xf>
    <xf numFmtId="0" fontId="18" fillId="5" borderId="141" xfId="1" applyFont="1" applyFill="1" applyBorder="1" applyAlignment="1" applyProtection="1">
      <alignment vertical="center"/>
    </xf>
    <xf numFmtId="0" fontId="18" fillId="5" borderId="101" xfId="1" applyFont="1" applyFill="1" applyBorder="1" applyAlignment="1" applyProtection="1">
      <alignment vertical="center"/>
    </xf>
    <xf numFmtId="0" fontId="18" fillId="5" borderId="101" xfId="1" applyFont="1" applyFill="1" applyBorder="1" applyAlignment="1" applyProtection="1">
      <alignment horizontal="right" vertical="center"/>
    </xf>
    <xf numFmtId="0" fontId="11" fillId="6" borderId="68" xfId="3" applyFont="1" applyFill="1" applyBorder="1" applyAlignment="1" applyProtection="1">
      <alignment vertical="center"/>
    </xf>
    <xf numFmtId="0" fontId="18" fillId="7" borderId="129" xfId="1" applyFont="1" applyFill="1" applyBorder="1" applyAlignment="1" applyProtection="1">
      <alignment vertical="center"/>
    </xf>
    <xf numFmtId="0" fontId="20" fillId="7" borderId="15" xfId="1" quotePrefix="1" applyFont="1" applyFill="1" applyBorder="1" applyAlignment="1" applyProtection="1">
      <alignment vertical="center"/>
    </xf>
    <xf numFmtId="0" fontId="18" fillId="7" borderId="15" xfId="1" applyFont="1" applyFill="1" applyBorder="1" applyAlignment="1" applyProtection="1">
      <alignment vertical="center"/>
    </xf>
    <xf numFmtId="0" fontId="22" fillId="7" borderId="61" xfId="1" applyFont="1" applyFill="1" applyBorder="1" applyAlignment="1" applyProtection="1">
      <alignment horizontal="right" vertical="center"/>
    </xf>
    <xf numFmtId="0" fontId="18" fillId="7" borderId="61" xfId="1" applyFont="1" applyFill="1" applyBorder="1" applyAlignment="1" applyProtection="1">
      <alignment horizontal="right" vertical="center"/>
    </xf>
    <xf numFmtId="0" fontId="18" fillId="6" borderId="61" xfId="1" applyFont="1" applyFill="1" applyBorder="1" applyAlignment="1" applyProtection="1">
      <alignment vertical="center"/>
    </xf>
    <xf numFmtId="0" fontId="39" fillId="0" borderId="0" xfId="1" applyFont="1" applyBorder="1" applyAlignment="1" applyProtection="1">
      <alignment horizontal="center" vertical="center"/>
    </xf>
    <xf numFmtId="0" fontId="18" fillId="5" borderId="125" xfId="1" applyFont="1" applyFill="1" applyBorder="1" applyAlignment="1" applyProtection="1">
      <alignment vertical="center"/>
    </xf>
    <xf numFmtId="0" fontId="18" fillId="5" borderId="17" xfId="1" applyFont="1" applyFill="1" applyBorder="1" applyAlignment="1" applyProtection="1">
      <alignment vertical="center"/>
    </xf>
    <xf numFmtId="0" fontId="18" fillId="5" borderId="17" xfId="1" applyFont="1" applyFill="1" applyBorder="1" applyAlignment="1" applyProtection="1">
      <alignment horizontal="right" vertical="center"/>
    </xf>
    <xf numFmtId="0" fontId="18" fillId="5" borderId="147" xfId="1" applyFont="1" applyFill="1" applyBorder="1" applyAlignment="1" applyProtection="1">
      <alignment vertical="center"/>
    </xf>
    <xf numFmtId="0" fontId="18" fillId="6" borderId="72" xfId="1" applyFont="1" applyFill="1" applyBorder="1" applyAlignment="1" applyProtection="1">
      <alignment vertical="center"/>
    </xf>
    <xf numFmtId="4" fontId="18" fillId="6" borderId="74" xfId="1" applyNumberFormat="1" applyFont="1" applyFill="1" applyBorder="1" applyAlignment="1" applyProtection="1">
      <alignment vertical="center"/>
    </xf>
    <xf numFmtId="3" fontId="27" fillId="4" borderId="149" xfId="0" applyNumberFormat="1" applyFont="1" applyFill="1" applyBorder="1" applyAlignment="1" applyProtection="1">
      <alignment vertical="center"/>
    </xf>
    <xf numFmtId="3" fontId="27" fillId="4" borderId="70" xfId="0" applyNumberFormat="1" applyFont="1" applyFill="1" applyBorder="1" applyAlignment="1" applyProtection="1">
      <alignment vertical="center"/>
    </xf>
    <xf numFmtId="0" fontId="18" fillId="5" borderId="127" xfId="1" applyFont="1" applyFill="1" applyBorder="1" applyAlignment="1" applyProtection="1">
      <alignment vertical="center"/>
    </xf>
    <xf numFmtId="0" fontId="18" fillId="5" borderId="65" xfId="1" applyFont="1" applyFill="1" applyBorder="1" applyAlignment="1" applyProtection="1">
      <alignment vertical="center"/>
    </xf>
    <xf numFmtId="0" fontId="18" fillId="5" borderId="65" xfId="1" applyFont="1" applyFill="1" applyBorder="1" applyAlignment="1" applyProtection="1">
      <alignment horizontal="right" vertical="center"/>
    </xf>
    <xf numFmtId="3" fontId="18" fillId="5" borderId="65" xfId="1" applyNumberFormat="1" applyFont="1" applyFill="1" applyBorder="1" applyAlignment="1" applyProtection="1">
      <alignment vertical="center"/>
    </xf>
    <xf numFmtId="0" fontId="18" fillId="5" borderId="76" xfId="1" applyFont="1" applyFill="1" applyBorder="1" applyAlignment="1" applyProtection="1">
      <alignment vertical="center"/>
    </xf>
    <xf numFmtId="4" fontId="18" fillId="6" borderId="134" xfId="1" applyNumberFormat="1" applyFont="1" applyFill="1" applyBorder="1" applyAlignment="1" applyProtection="1">
      <alignment vertical="center"/>
    </xf>
    <xf numFmtId="3" fontId="27" fillId="4" borderId="109" xfId="0" applyNumberFormat="1" applyFont="1" applyFill="1" applyBorder="1" applyAlignment="1" applyProtection="1">
      <alignment vertical="center"/>
    </xf>
    <xf numFmtId="3" fontId="27" fillId="4" borderId="69" xfId="0" applyNumberFormat="1" applyFont="1" applyFill="1" applyBorder="1" applyAlignment="1" applyProtection="1">
      <alignment vertical="center"/>
    </xf>
    <xf numFmtId="0" fontId="35" fillId="0" borderId="0" xfId="1" applyFont="1" applyFill="1" applyBorder="1" applyAlignment="1" applyProtection="1">
      <alignment vertical="center"/>
    </xf>
    <xf numFmtId="3" fontId="27" fillId="4" borderId="150" xfId="0" applyNumberFormat="1" applyFont="1" applyFill="1" applyBorder="1" applyAlignment="1" applyProtection="1">
      <alignment vertical="center"/>
    </xf>
    <xf numFmtId="3" fontId="27" fillId="4" borderId="115" xfId="0" applyNumberFormat="1" applyFont="1" applyFill="1" applyBorder="1" applyAlignment="1" applyProtection="1">
      <alignment vertical="center"/>
    </xf>
    <xf numFmtId="3" fontId="71" fillId="4" borderId="28" xfId="0" applyNumberFormat="1" applyFont="1" applyFill="1" applyBorder="1" applyAlignment="1" applyProtection="1">
      <alignment vertical="center"/>
    </xf>
    <xf numFmtId="3" fontId="28" fillId="4" borderId="139" xfId="0" applyNumberFormat="1" applyFont="1" applyFill="1" applyBorder="1" applyAlignment="1" applyProtection="1">
      <alignment vertical="center"/>
    </xf>
    <xf numFmtId="0" fontId="18" fillId="0" borderId="75" xfId="1" applyFont="1" applyBorder="1" applyAlignment="1" applyProtection="1">
      <alignment vertical="center"/>
    </xf>
    <xf numFmtId="0" fontId="39" fillId="0" borderId="0" xfId="1" applyFont="1" applyBorder="1" applyAlignment="1" applyProtection="1">
      <alignment vertical="center"/>
    </xf>
    <xf numFmtId="0" fontId="20" fillId="0" borderId="61" xfId="1" applyFont="1" applyBorder="1" applyAlignment="1" applyProtection="1">
      <alignment vertical="center"/>
    </xf>
    <xf numFmtId="0" fontId="22" fillId="0" borderId="0" xfId="1" applyFont="1" applyAlignment="1" applyProtection="1">
      <alignment vertical="center"/>
    </xf>
    <xf numFmtId="0" fontId="18" fillId="0" borderId="56" xfId="1" applyFont="1" applyBorder="1" applyAlignment="1" applyProtection="1">
      <alignment vertical="center"/>
    </xf>
    <xf numFmtId="0" fontId="18" fillId="0" borderId="70" xfId="1" applyFont="1" applyBorder="1" applyAlignment="1" applyProtection="1">
      <alignment vertical="center"/>
    </xf>
    <xf numFmtId="0" fontId="18" fillId="0" borderId="7" xfId="1" applyFont="1" applyFill="1" applyBorder="1" applyAlignment="1" applyProtection="1">
      <alignment vertical="center"/>
    </xf>
    <xf numFmtId="0" fontId="18" fillId="0" borderId="38" xfId="1" applyFont="1" applyBorder="1" applyAlignment="1" applyProtection="1">
      <alignment vertical="center"/>
    </xf>
    <xf numFmtId="0" fontId="18" fillId="6" borderId="0" xfId="1" applyFont="1" applyFill="1" applyBorder="1" applyAlignment="1" applyProtection="1">
      <alignment vertical="center"/>
    </xf>
    <xf numFmtId="0" fontId="18" fillId="0" borderId="60" xfId="1" applyFont="1" applyBorder="1" applyAlignment="1" applyProtection="1">
      <alignment vertical="center"/>
    </xf>
    <xf numFmtId="0" fontId="18" fillId="0" borderId="61" xfId="1" applyFont="1" applyBorder="1" applyAlignment="1" applyProtection="1">
      <alignment vertical="center"/>
    </xf>
    <xf numFmtId="0" fontId="18" fillId="0" borderId="101" xfId="1" applyFont="1" applyBorder="1" applyAlignment="1" applyProtection="1">
      <alignment vertical="center"/>
    </xf>
    <xf numFmtId="0" fontId="18" fillId="0" borderId="52" xfId="1" applyFont="1" applyBorder="1" applyAlignment="1" applyProtection="1">
      <alignment vertical="center"/>
    </xf>
    <xf numFmtId="0" fontId="18" fillId="0" borderId="9" xfId="1" applyFont="1" applyBorder="1" applyAlignment="1" applyProtection="1">
      <alignment vertical="center"/>
    </xf>
    <xf numFmtId="4" fontId="18" fillId="6" borderId="60" xfId="1" applyNumberFormat="1" applyFont="1" applyFill="1" applyBorder="1" applyAlignment="1" applyProtection="1">
      <alignment vertical="center"/>
    </xf>
    <xf numFmtId="0" fontId="20" fillId="11" borderId="72" xfId="1" applyFont="1" applyFill="1" applyBorder="1" applyAlignment="1" applyProtection="1">
      <alignment vertical="center"/>
    </xf>
    <xf numFmtId="0" fontId="18" fillId="11" borderId="72" xfId="1" applyFont="1" applyFill="1" applyBorder="1" applyAlignment="1" applyProtection="1">
      <alignment vertical="center"/>
    </xf>
    <xf numFmtId="0" fontId="18" fillId="11" borderId="74" xfId="1" applyFont="1" applyFill="1" applyBorder="1" applyAlignment="1" applyProtection="1">
      <alignment vertical="center"/>
    </xf>
    <xf numFmtId="0" fontId="18" fillId="0" borderId="33" xfId="1" applyFont="1" applyFill="1" applyBorder="1" applyAlignment="1" applyProtection="1">
      <alignment vertical="center"/>
    </xf>
    <xf numFmtId="0" fontId="18" fillId="0" borderId="33" xfId="1" applyFont="1" applyBorder="1" applyAlignment="1" applyProtection="1">
      <alignment vertical="center"/>
    </xf>
    <xf numFmtId="0" fontId="18" fillId="0" borderId="33" xfId="1" applyFont="1" applyBorder="1" applyAlignment="1" applyProtection="1">
      <alignment horizontal="right" vertical="center"/>
    </xf>
    <xf numFmtId="0" fontId="18" fillId="0" borderId="51" xfId="1" applyFont="1" applyBorder="1" applyAlignment="1" applyProtection="1">
      <alignment vertical="center"/>
    </xf>
    <xf numFmtId="0" fontId="18" fillId="0" borderId="7" xfId="1" applyFont="1" applyBorder="1" applyAlignment="1" applyProtection="1">
      <alignment vertical="center"/>
    </xf>
    <xf numFmtId="0" fontId="18" fillId="0" borderId="53" xfId="1" applyFont="1" applyBorder="1" applyAlignment="1" applyProtection="1">
      <alignment vertical="center"/>
    </xf>
    <xf numFmtId="0" fontId="18" fillId="0" borderId="21" xfId="1" applyFont="1" applyBorder="1" applyAlignment="1" applyProtection="1">
      <alignment vertical="center"/>
    </xf>
    <xf numFmtId="0" fontId="18" fillId="0" borderId="72" xfId="1" applyFont="1" applyBorder="1" applyAlignment="1" applyProtection="1">
      <alignment vertical="center"/>
    </xf>
    <xf numFmtId="0" fontId="18" fillId="0" borderId="0" xfId="1" applyFont="1" applyBorder="1" applyAlignment="1" applyProtection="1">
      <alignment horizontal="right" vertical="center"/>
    </xf>
    <xf numFmtId="3" fontId="22" fillId="0" borderId="0" xfId="1" applyNumberFormat="1" applyFont="1" applyBorder="1" applyAlignment="1" applyProtection="1">
      <alignment horizontal="center" vertical="center"/>
    </xf>
    <xf numFmtId="0" fontId="6" fillId="0" borderId="0" xfId="3" applyFont="1" applyBorder="1" applyAlignment="1" applyProtection="1">
      <alignment vertical="center"/>
    </xf>
    <xf numFmtId="0" fontId="22" fillId="0" borderId="0" xfId="1" applyFont="1" applyBorder="1" applyAlignment="1" applyProtection="1">
      <alignment horizontal="center" vertical="center"/>
    </xf>
    <xf numFmtId="0" fontId="11" fillId="0" borderId="0" xfId="3" applyFont="1" applyBorder="1" applyAlignment="1" applyProtection="1">
      <alignment vertical="center"/>
    </xf>
    <xf numFmtId="0" fontId="11" fillId="0" borderId="70" xfId="3" applyFont="1" applyBorder="1" applyAlignment="1" applyProtection="1">
      <alignment vertical="center"/>
    </xf>
    <xf numFmtId="0" fontId="18" fillId="0" borderId="2" xfId="1" applyFont="1" applyBorder="1" applyAlignment="1" applyProtection="1">
      <alignment vertical="center"/>
    </xf>
    <xf numFmtId="0" fontId="18" fillId="0" borderId="81" xfId="1" applyFont="1" applyBorder="1" applyAlignment="1" applyProtection="1">
      <alignment vertical="center"/>
    </xf>
    <xf numFmtId="0" fontId="18" fillId="0" borderId="123" xfId="1" applyFont="1" applyBorder="1" applyAlignment="1" applyProtection="1">
      <alignment vertical="center"/>
    </xf>
    <xf numFmtId="0" fontId="18" fillId="0" borderId="101" xfId="1" applyFont="1" applyBorder="1" applyAlignment="1" applyProtection="1">
      <alignment horizontal="right" vertical="center"/>
    </xf>
    <xf numFmtId="0" fontId="18" fillId="0" borderId="103" xfId="1" applyFont="1" applyBorder="1" applyAlignment="1" applyProtection="1">
      <alignment vertical="center"/>
    </xf>
    <xf numFmtId="0" fontId="18" fillId="6" borderId="51" xfId="1" applyFont="1" applyFill="1" applyBorder="1" applyAlignment="1" applyProtection="1"/>
    <xf numFmtId="0" fontId="18" fillId="6" borderId="52" xfId="1" applyFont="1" applyFill="1" applyBorder="1" applyAlignment="1" applyProtection="1">
      <alignment vertical="center"/>
    </xf>
    <xf numFmtId="0" fontId="18" fillId="6" borderId="54" xfId="1" applyFont="1" applyFill="1" applyBorder="1" applyAlignment="1" applyProtection="1">
      <alignment vertical="center"/>
    </xf>
    <xf numFmtId="0" fontId="18" fillId="6" borderId="53" xfId="1" applyFont="1" applyFill="1" applyBorder="1" applyAlignment="1" applyProtection="1">
      <alignment vertical="center"/>
    </xf>
    <xf numFmtId="0" fontId="18" fillId="6" borderId="75" xfId="1" applyFont="1" applyFill="1" applyBorder="1" applyProtection="1"/>
    <xf numFmtId="0" fontId="18" fillId="6" borderId="70" xfId="1" applyFont="1" applyFill="1" applyBorder="1" applyAlignment="1" applyProtection="1">
      <alignment vertical="center"/>
    </xf>
    <xf numFmtId="0" fontId="18" fillId="6" borderId="75" xfId="1" applyFont="1" applyFill="1" applyBorder="1" applyAlignment="1" applyProtection="1">
      <alignment vertical="center"/>
    </xf>
    <xf numFmtId="0" fontId="18" fillId="6" borderId="60" xfId="1" applyFont="1" applyFill="1" applyBorder="1" applyProtection="1"/>
    <xf numFmtId="0" fontId="13" fillId="6" borderId="76" xfId="1" applyFill="1" applyBorder="1" applyProtection="1"/>
    <xf numFmtId="0" fontId="18" fillId="6" borderId="51" xfId="1" applyFont="1" applyFill="1" applyBorder="1" applyAlignment="1" applyProtection="1">
      <alignment vertical="center"/>
    </xf>
    <xf numFmtId="0" fontId="13" fillId="6" borderId="52" xfId="1" applyFill="1" applyBorder="1" applyAlignment="1" applyProtection="1"/>
    <xf numFmtId="0" fontId="18" fillId="6" borderId="124" xfId="1" applyFont="1" applyFill="1" applyBorder="1" applyAlignment="1" applyProtection="1">
      <alignment horizontal="left" vertical="center"/>
    </xf>
    <xf numFmtId="0" fontId="53" fillId="9" borderId="0" xfId="1" applyFont="1" applyFill="1" applyBorder="1" applyAlignment="1" applyProtection="1">
      <alignment horizontal="right" vertical="center"/>
    </xf>
    <xf numFmtId="0" fontId="53" fillId="9" borderId="0" xfId="1" applyFont="1" applyFill="1" applyBorder="1" applyAlignment="1" applyProtection="1">
      <alignment vertical="top"/>
    </xf>
    <xf numFmtId="0" fontId="22" fillId="6" borderId="71" xfId="1" applyFont="1" applyFill="1" applyBorder="1" applyAlignment="1" applyProtection="1"/>
    <xf numFmtId="0" fontId="22" fillId="6" borderId="72" xfId="1" applyFont="1" applyFill="1" applyBorder="1" applyAlignment="1" applyProtection="1"/>
    <xf numFmtId="0" fontId="22" fillId="6" borderId="73" xfId="1" applyFont="1" applyFill="1" applyBorder="1" applyAlignment="1" applyProtection="1"/>
    <xf numFmtId="0" fontId="13" fillId="6" borderId="107" xfId="1" applyFill="1" applyBorder="1" applyProtection="1"/>
    <xf numFmtId="0" fontId="13" fillId="6" borderId="79" xfId="1" applyFill="1" applyBorder="1" applyProtection="1"/>
    <xf numFmtId="0" fontId="13" fillId="6" borderId="51" xfId="1" applyFill="1" applyBorder="1" applyProtection="1"/>
    <xf numFmtId="0" fontId="13" fillId="6" borderId="53" xfId="1" applyFill="1" applyBorder="1" applyProtection="1"/>
    <xf numFmtId="0" fontId="13" fillId="6" borderId="0" xfId="1" applyFill="1" applyBorder="1" applyAlignment="1" applyProtection="1"/>
    <xf numFmtId="0" fontId="18" fillId="6" borderId="137" xfId="1" applyFont="1" applyFill="1" applyBorder="1" applyAlignment="1" applyProtection="1">
      <alignment horizontal="left" vertical="center"/>
    </xf>
    <xf numFmtId="0" fontId="13" fillId="6" borderId="75" xfId="1" applyFill="1" applyBorder="1" applyProtection="1"/>
    <xf numFmtId="167" fontId="18" fillId="6" borderId="0" xfId="1" applyNumberFormat="1" applyFont="1" applyFill="1" applyBorder="1" applyAlignment="1" applyProtection="1">
      <alignment vertical="center"/>
    </xf>
    <xf numFmtId="167" fontId="18" fillId="6" borderId="4" xfId="1" applyNumberFormat="1" applyFont="1" applyFill="1" applyBorder="1" applyAlignment="1" applyProtection="1">
      <alignment vertical="center"/>
    </xf>
    <xf numFmtId="0" fontId="13" fillId="6" borderId="5" xfId="1" applyFill="1" applyBorder="1" applyAlignment="1" applyProtection="1">
      <alignment horizontal="right"/>
    </xf>
    <xf numFmtId="0" fontId="13" fillId="6" borderId="27" xfId="1" applyFill="1" applyBorder="1" applyProtection="1"/>
    <xf numFmtId="0" fontId="13" fillId="6" borderId="104" xfId="1" applyFill="1" applyBorder="1" applyProtection="1"/>
    <xf numFmtId="0" fontId="13" fillId="6" borderId="70" xfId="1" applyFill="1" applyBorder="1" applyProtection="1"/>
    <xf numFmtId="167" fontId="18" fillId="6" borderId="52" xfId="1" applyNumberFormat="1" applyFont="1" applyFill="1" applyBorder="1" applyAlignment="1" applyProtection="1">
      <alignment vertical="center"/>
    </xf>
    <xf numFmtId="167" fontId="18" fillId="6" borderId="55" xfId="1" applyNumberFormat="1" applyFont="1" applyFill="1" applyBorder="1" applyAlignment="1" applyProtection="1">
      <alignment vertical="center"/>
    </xf>
    <xf numFmtId="0" fontId="13" fillId="6" borderId="97" xfId="1" applyFill="1" applyBorder="1" applyProtection="1"/>
    <xf numFmtId="0" fontId="13" fillId="6" borderId="98" xfId="1" applyFill="1" applyBorder="1" applyAlignment="1" applyProtection="1">
      <alignment horizontal="right"/>
    </xf>
    <xf numFmtId="0" fontId="13" fillId="6" borderId="30" xfId="1" applyFill="1" applyBorder="1" applyProtection="1"/>
    <xf numFmtId="167" fontId="18" fillId="6" borderId="9" xfId="1" applyNumberFormat="1" applyFont="1" applyFill="1" applyBorder="1" applyAlignment="1" applyProtection="1">
      <alignment vertical="center"/>
    </xf>
    <xf numFmtId="0" fontId="13" fillId="6" borderId="10" xfId="1" applyFill="1" applyBorder="1" applyAlignment="1" applyProtection="1">
      <alignment horizontal="right"/>
    </xf>
    <xf numFmtId="0" fontId="13" fillId="6" borderId="60" xfId="1" applyFill="1" applyBorder="1" applyProtection="1"/>
    <xf numFmtId="0" fontId="13" fillId="6" borderId="6" xfId="1" applyFill="1" applyBorder="1" applyProtection="1"/>
    <xf numFmtId="0" fontId="13" fillId="6" borderId="7" xfId="1" applyFill="1" applyBorder="1" applyProtection="1"/>
    <xf numFmtId="0" fontId="13" fillId="6" borderId="9" xfId="1" applyFill="1" applyBorder="1" applyProtection="1"/>
    <xf numFmtId="0" fontId="13" fillId="6" borderId="59" xfId="1" applyFill="1" applyBorder="1" applyProtection="1"/>
    <xf numFmtId="0" fontId="18" fillId="6" borderId="60" xfId="1" applyFont="1" applyFill="1" applyBorder="1" applyAlignment="1" applyProtection="1">
      <alignment vertical="center"/>
    </xf>
    <xf numFmtId="0" fontId="13" fillId="6" borderId="61" xfId="1" applyFill="1" applyBorder="1" applyAlignment="1" applyProtection="1"/>
    <xf numFmtId="0" fontId="18" fillId="6" borderId="121" xfId="1" applyFont="1" applyFill="1" applyBorder="1" applyAlignment="1" applyProtection="1">
      <alignment horizontal="left" vertical="center"/>
    </xf>
    <xf numFmtId="0" fontId="13" fillId="6" borderId="100" xfId="1" applyFill="1" applyBorder="1" applyProtection="1"/>
    <xf numFmtId="0" fontId="13" fillId="6" borderId="101" xfId="1" applyFill="1" applyBorder="1" applyProtection="1"/>
    <xf numFmtId="0" fontId="13" fillId="6" borderId="102" xfId="1" applyFill="1" applyBorder="1" applyProtection="1"/>
    <xf numFmtId="0" fontId="13" fillId="6" borderId="103" xfId="1" applyFill="1" applyBorder="1" applyProtection="1"/>
    <xf numFmtId="167" fontId="18" fillId="6" borderId="7" xfId="1" applyNumberFormat="1" applyFont="1" applyFill="1" applyBorder="1" applyAlignment="1" applyProtection="1">
      <alignment vertical="center"/>
    </xf>
    <xf numFmtId="0" fontId="13" fillId="6" borderId="8" xfId="1" applyFill="1" applyBorder="1" applyAlignment="1" applyProtection="1">
      <alignment horizontal="right"/>
    </xf>
    <xf numFmtId="0" fontId="13" fillId="9" borderId="0" xfId="1" applyFill="1" applyAlignment="1" applyProtection="1"/>
    <xf numFmtId="0" fontId="13" fillId="9" borderId="0" xfId="1" applyFill="1" applyBorder="1" applyProtection="1"/>
    <xf numFmtId="0" fontId="13" fillId="0" borderId="0" xfId="1" applyBorder="1" applyProtection="1"/>
    <xf numFmtId="0" fontId="18" fillId="3" borderId="134" xfId="1" applyFont="1" applyFill="1" applyBorder="1" applyAlignment="1" applyProtection="1">
      <alignment horizontal="center" vertical="center"/>
      <protection locked="0"/>
    </xf>
    <xf numFmtId="0" fontId="18" fillId="0" borderId="52" xfId="1" applyFont="1" applyBorder="1" applyAlignment="1" applyProtection="1">
      <alignment vertical="center"/>
      <protection locked="0"/>
    </xf>
    <xf numFmtId="0" fontId="18" fillId="0" borderId="0" xfId="1" applyFont="1" applyFill="1" applyBorder="1" applyAlignment="1" applyProtection="1">
      <alignment vertical="center"/>
      <protection locked="0"/>
    </xf>
    <xf numFmtId="0" fontId="39" fillId="0" borderId="0" xfId="1" applyFont="1" applyBorder="1" applyAlignment="1" applyProtection="1">
      <alignment vertical="center"/>
      <protection locked="0"/>
    </xf>
    <xf numFmtId="0" fontId="39" fillId="0" borderId="43" xfId="1" applyFont="1" applyBorder="1" applyAlignment="1" applyProtection="1">
      <alignment vertical="center"/>
      <protection locked="0"/>
    </xf>
    <xf numFmtId="0" fontId="18" fillId="0" borderId="75" xfId="1" applyFont="1" applyBorder="1" applyAlignment="1" applyProtection="1">
      <alignment vertical="center"/>
      <protection locked="0"/>
    </xf>
    <xf numFmtId="0" fontId="18" fillId="0" borderId="51" xfId="1" applyFont="1" applyBorder="1" applyAlignment="1" applyProtection="1">
      <alignment vertical="center"/>
      <protection locked="0"/>
    </xf>
    <xf numFmtId="0" fontId="20" fillId="6" borderId="53" xfId="1" applyFont="1" applyFill="1" applyBorder="1" applyAlignment="1" applyProtection="1">
      <alignment horizontal="center"/>
    </xf>
    <xf numFmtId="0" fontId="18" fillId="6" borderId="0" xfId="5" applyFont="1" applyFill="1" applyBorder="1" applyAlignment="1">
      <alignment vertical="center"/>
    </xf>
    <xf numFmtId="0" fontId="13" fillId="6" borderId="0" xfId="5" applyFill="1" applyBorder="1" applyAlignment="1">
      <alignment vertical="center"/>
    </xf>
    <xf numFmtId="0" fontId="43" fillId="6" borderId="0" xfId="5" applyFont="1" applyFill="1" applyBorder="1" applyAlignment="1">
      <alignment vertical="center"/>
    </xf>
    <xf numFmtId="0" fontId="35" fillId="6" borderId="0" xfId="5" applyFont="1" applyFill="1" applyBorder="1" applyAlignment="1">
      <alignment vertical="center"/>
    </xf>
    <xf numFmtId="0" fontId="38" fillId="6" borderId="0" xfId="5" applyFont="1" applyFill="1" applyBorder="1" applyAlignment="1">
      <alignment vertical="center"/>
    </xf>
    <xf numFmtId="0" fontId="44" fillId="6" borderId="0" xfId="5" applyFont="1" applyFill="1" applyBorder="1" applyAlignment="1">
      <alignment vertical="center"/>
    </xf>
    <xf numFmtId="0" fontId="18" fillId="0" borderId="2" xfId="5" applyFont="1" applyBorder="1" applyAlignment="1" applyProtection="1">
      <alignment vertical="center"/>
      <protection locked="0"/>
    </xf>
    <xf numFmtId="0" fontId="18" fillId="0" borderId="3" xfId="5" applyFont="1" applyBorder="1" applyAlignment="1" applyProtection="1">
      <alignment vertical="center"/>
      <protection locked="0"/>
    </xf>
    <xf numFmtId="0" fontId="18" fillId="0" borderId="155" xfId="5" applyFont="1" applyBorder="1" applyAlignment="1">
      <alignment vertical="center"/>
    </xf>
    <xf numFmtId="0" fontId="18" fillId="0" borderId="17" xfId="5" applyFont="1" applyBorder="1" applyAlignment="1">
      <alignment vertical="center"/>
    </xf>
    <xf numFmtId="0" fontId="18" fillId="0" borderId="156" xfId="5" applyFont="1" applyBorder="1" applyAlignment="1">
      <alignment vertical="center"/>
    </xf>
    <xf numFmtId="0" fontId="20" fillId="0" borderId="91" xfId="5" applyFont="1" applyBorder="1" applyAlignment="1">
      <alignment vertical="center"/>
    </xf>
    <xf numFmtId="0" fontId="13" fillId="0" borderId="92" xfId="5" applyBorder="1"/>
    <xf numFmtId="0" fontId="49" fillId="0" borderId="91" xfId="5" applyFont="1" applyBorder="1" applyAlignment="1" applyProtection="1">
      <alignment vertical="center"/>
      <protection locked="0"/>
    </xf>
    <xf numFmtId="0" fontId="13" fillId="0" borderId="0" xfId="5" applyBorder="1" applyProtection="1">
      <protection locked="0"/>
    </xf>
    <xf numFmtId="0" fontId="18" fillId="0" borderId="91" xfId="5" applyFont="1" applyBorder="1" applyAlignment="1" applyProtection="1">
      <alignment vertical="center"/>
      <protection locked="0"/>
    </xf>
    <xf numFmtId="0" fontId="18" fillId="0" borderId="92" xfId="5" applyFont="1" applyBorder="1" applyAlignment="1" applyProtection="1">
      <alignment vertical="center"/>
      <protection locked="0"/>
    </xf>
    <xf numFmtId="0" fontId="13" fillId="0" borderId="91" xfId="5" applyBorder="1"/>
    <xf numFmtId="0" fontId="18" fillId="0" borderId="44" xfId="5" applyFont="1" applyBorder="1" applyAlignment="1" applyProtection="1">
      <alignment vertical="center"/>
      <protection locked="0"/>
    </xf>
    <xf numFmtId="0" fontId="18" fillId="0" borderId="93" xfId="5" applyFont="1" applyBorder="1" applyAlignment="1" applyProtection="1">
      <alignment vertical="center"/>
      <protection locked="0"/>
    </xf>
    <xf numFmtId="0" fontId="13" fillId="6" borderId="0" xfId="5" applyFill="1"/>
    <xf numFmtId="3" fontId="18" fillId="6" borderId="74" xfId="1" applyNumberFormat="1" applyFont="1" applyFill="1" applyBorder="1" applyAlignment="1" applyProtection="1">
      <alignment vertical="center"/>
    </xf>
    <xf numFmtId="0" fontId="20" fillId="6" borderId="157" xfId="1" applyFont="1" applyFill="1" applyBorder="1" applyAlignment="1" applyProtection="1">
      <alignment horizontal="center" vertical="center"/>
    </xf>
    <xf numFmtId="0" fontId="11" fillId="6" borderId="75" xfId="3" applyFont="1" applyFill="1" applyBorder="1" applyAlignment="1" applyProtection="1">
      <alignment vertical="center"/>
    </xf>
    <xf numFmtId="0" fontId="18" fillId="0" borderId="53" xfId="1" applyFont="1" applyBorder="1" applyAlignment="1" applyProtection="1">
      <alignment vertical="center"/>
      <protection locked="0"/>
    </xf>
    <xf numFmtId="0" fontId="11" fillId="0" borderId="0" xfId="3" applyFont="1" applyBorder="1" applyAlignment="1" applyProtection="1">
      <alignment vertical="center"/>
      <protection locked="0"/>
    </xf>
    <xf numFmtId="0" fontId="11" fillId="0" borderId="5" xfId="3" applyFont="1" applyBorder="1" applyAlignment="1" applyProtection="1">
      <alignment vertical="center"/>
      <protection locked="0"/>
    </xf>
    <xf numFmtId="0" fontId="11" fillId="0" borderId="7" xfId="3" applyFont="1" applyBorder="1" applyAlignment="1" applyProtection="1">
      <alignment vertical="center"/>
      <protection locked="0"/>
    </xf>
    <xf numFmtId="0" fontId="11" fillId="0" borderId="8" xfId="3" applyFont="1" applyBorder="1" applyAlignment="1" applyProtection="1">
      <alignment vertical="center"/>
      <protection locked="0"/>
    </xf>
    <xf numFmtId="0" fontId="11" fillId="0" borderId="0" xfId="3" applyFont="1" applyFill="1" applyBorder="1" applyAlignment="1">
      <alignment vertical="center"/>
    </xf>
    <xf numFmtId="0" fontId="11" fillId="0" borderId="114" xfId="3" applyFont="1" applyFill="1" applyBorder="1" applyAlignment="1">
      <alignment vertical="center"/>
    </xf>
    <xf numFmtId="0" fontId="11" fillId="0" borderId="85" xfId="3" applyFont="1" applyFill="1" applyBorder="1" applyAlignment="1">
      <alignment vertical="center"/>
    </xf>
    <xf numFmtId="0" fontId="11" fillId="0" borderId="118" xfId="3" applyFont="1" applyFill="1" applyBorder="1" applyAlignment="1">
      <alignment vertical="center"/>
    </xf>
    <xf numFmtId="0" fontId="11" fillId="0" borderId="75" xfId="3" applyFont="1" applyFill="1" applyBorder="1" applyAlignment="1">
      <alignment vertical="center"/>
    </xf>
    <xf numFmtId="0" fontId="64" fillId="0" borderId="0" xfId="3" applyFont="1" applyFill="1" applyBorder="1" applyAlignment="1">
      <alignment vertical="center"/>
    </xf>
    <xf numFmtId="0" fontId="11" fillId="0" borderId="109" xfId="3" applyFont="1" applyBorder="1" applyAlignment="1">
      <alignment vertical="center"/>
    </xf>
    <xf numFmtId="1" fontId="32" fillId="0" borderId="0" xfId="1" applyNumberFormat="1" applyFont="1" applyFill="1" applyBorder="1" applyAlignment="1">
      <alignment horizontal="center"/>
    </xf>
    <xf numFmtId="0" fontId="13" fillId="0" borderId="0" xfId="1" applyFill="1"/>
    <xf numFmtId="0" fontId="0" fillId="0" borderId="0" xfId="0" applyFill="1"/>
    <xf numFmtId="0" fontId="13" fillId="0" borderId="0" xfId="1" applyFill="1" applyProtection="1"/>
    <xf numFmtId="0" fontId="18" fillId="0" borderId="0" xfId="1" applyFont="1" applyFill="1" applyAlignment="1">
      <alignment vertical="center"/>
    </xf>
    <xf numFmtId="0" fontId="18" fillId="0" borderId="0" xfId="1" applyFont="1" applyFill="1" applyAlignment="1" applyProtection="1">
      <alignment vertical="center"/>
    </xf>
    <xf numFmtId="0" fontId="18" fillId="0" borderId="136" xfId="1" applyFont="1" applyFill="1" applyBorder="1" applyAlignment="1">
      <alignment horizontal="center" vertical="center"/>
    </xf>
    <xf numFmtId="0" fontId="18" fillId="0" borderId="135" xfId="1" applyFont="1" applyFill="1" applyBorder="1" applyAlignment="1">
      <alignment vertical="center"/>
    </xf>
    <xf numFmtId="0" fontId="18" fillId="0" borderId="135" xfId="1" applyFont="1" applyFill="1" applyBorder="1" applyAlignment="1" applyProtection="1">
      <alignment vertical="center"/>
    </xf>
    <xf numFmtId="0" fontId="18" fillId="0" borderId="136" xfId="1" applyFont="1" applyFill="1" applyBorder="1" applyAlignment="1">
      <alignment vertical="center"/>
    </xf>
    <xf numFmtId="0" fontId="18" fillId="0" borderId="136" xfId="1" applyFont="1" applyFill="1" applyBorder="1" applyAlignment="1" applyProtection="1">
      <alignment vertical="center"/>
    </xf>
    <xf numFmtId="0" fontId="18" fillId="0" borderId="137" xfId="1" applyFont="1" applyFill="1" applyBorder="1" applyAlignment="1">
      <alignment vertical="center"/>
    </xf>
    <xf numFmtId="0" fontId="18" fillId="0" borderId="137" xfId="1" applyFont="1" applyFill="1" applyBorder="1" applyAlignment="1" applyProtection="1">
      <alignment vertical="center"/>
    </xf>
    <xf numFmtId="3" fontId="18" fillId="0" borderId="136" xfId="1" applyNumberFormat="1" applyFont="1" applyFill="1" applyBorder="1" applyAlignment="1">
      <alignment vertical="center"/>
    </xf>
    <xf numFmtId="3" fontId="18" fillId="0" borderId="136" xfId="1" applyNumberFormat="1" applyFont="1" applyFill="1" applyBorder="1" applyAlignment="1" applyProtection="1">
      <alignment vertical="center"/>
    </xf>
    <xf numFmtId="3" fontId="18" fillId="0" borderId="137" xfId="1" applyNumberFormat="1" applyFont="1" applyFill="1" applyBorder="1" applyAlignment="1">
      <alignment vertical="center"/>
    </xf>
    <xf numFmtId="3" fontId="18" fillId="0" borderId="137" xfId="1" applyNumberFormat="1" applyFont="1" applyFill="1" applyBorder="1" applyAlignment="1" applyProtection="1">
      <alignment vertical="center"/>
    </xf>
    <xf numFmtId="3" fontId="18" fillId="0" borderId="135" xfId="1" applyNumberFormat="1" applyFont="1" applyFill="1" applyBorder="1" applyAlignment="1">
      <alignment vertical="center"/>
    </xf>
    <xf numFmtId="3" fontId="18" fillId="0" borderId="135" xfId="1" applyNumberFormat="1" applyFont="1" applyFill="1" applyBorder="1" applyAlignment="1" applyProtection="1">
      <alignment vertical="center"/>
    </xf>
    <xf numFmtId="0" fontId="18" fillId="0" borderId="0" xfId="1" applyFont="1" applyFill="1" applyBorder="1" applyAlignment="1" applyProtection="1">
      <alignment vertical="center"/>
    </xf>
    <xf numFmtId="3" fontId="22" fillId="0" borderId="136" xfId="1" applyNumberFormat="1" applyFont="1" applyFill="1" applyBorder="1" applyAlignment="1">
      <alignment vertical="center"/>
    </xf>
    <xf numFmtId="3" fontId="22" fillId="0" borderId="136" xfId="1" applyNumberFormat="1" applyFont="1" applyFill="1" applyBorder="1" applyAlignment="1" applyProtection="1">
      <alignment vertical="center"/>
    </xf>
    <xf numFmtId="3" fontId="22" fillId="0" borderId="137" xfId="1" applyNumberFormat="1" applyFont="1" applyFill="1" applyBorder="1" applyAlignment="1">
      <alignment vertical="center"/>
    </xf>
    <xf numFmtId="3" fontId="22" fillId="0" borderId="137" xfId="1" applyNumberFormat="1" applyFont="1" applyFill="1" applyBorder="1" applyAlignment="1" applyProtection="1">
      <alignment vertical="center"/>
    </xf>
    <xf numFmtId="3" fontId="22" fillId="0" borderId="135" xfId="1" applyNumberFormat="1" applyFont="1" applyFill="1" applyBorder="1" applyAlignment="1">
      <alignment vertical="center"/>
    </xf>
    <xf numFmtId="3" fontId="22" fillId="0" borderId="135" xfId="1" applyNumberFormat="1" applyFont="1" applyFill="1" applyBorder="1" applyAlignment="1" applyProtection="1">
      <alignment vertical="center"/>
    </xf>
    <xf numFmtId="3" fontId="18" fillId="0" borderId="124" xfId="1" applyNumberFormat="1" applyFont="1" applyFill="1" applyBorder="1" applyAlignment="1">
      <alignment vertical="center"/>
    </xf>
    <xf numFmtId="3" fontId="18" fillId="0" borderId="124" xfId="1" applyNumberFormat="1" applyFont="1" applyFill="1" applyBorder="1" applyAlignment="1" applyProtection="1">
      <alignment vertical="center"/>
    </xf>
    <xf numFmtId="3" fontId="18" fillId="0" borderId="106" xfId="1" applyNumberFormat="1" applyFont="1" applyFill="1" applyBorder="1" applyAlignment="1">
      <alignment vertical="center"/>
    </xf>
    <xf numFmtId="3" fontId="18" fillId="0" borderId="106" xfId="1" applyNumberFormat="1" applyFont="1" applyFill="1" applyBorder="1" applyAlignment="1" applyProtection="1">
      <alignment vertical="center"/>
    </xf>
    <xf numFmtId="3" fontId="38" fillId="0" borderId="106" xfId="1" applyNumberFormat="1" applyFont="1" applyFill="1" applyBorder="1" applyAlignment="1">
      <alignment vertical="center"/>
    </xf>
    <xf numFmtId="3" fontId="38" fillId="0" borderId="106" xfId="1" applyNumberFormat="1" applyFont="1" applyFill="1" applyBorder="1" applyAlignment="1" applyProtection="1">
      <alignment vertical="center"/>
    </xf>
    <xf numFmtId="0" fontId="13" fillId="0" borderId="0" xfId="1" applyFill="1" applyAlignment="1"/>
    <xf numFmtId="0" fontId="13" fillId="0" borderId="0" xfId="1" applyFill="1" applyAlignment="1" applyProtection="1"/>
    <xf numFmtId="0" fontId="18" fillId="7" borderId="97" xfId="1" applyFont="1" applyFill="1" applyBorder="1" applyAlignment="1" applyProtection="1">
      <alignment vertical="center"/>
    </xf>
    <xf numFmtId="0" fontId="18" fillId="0" borderId="0" xfId="1" applyFont="1" applyBorder="1" applyAlignment="1" applyProtection="1">
      <alignment horizontal="right" vertical="center"/>
    </xf>
    <xf numFmtId="0" fontId="18" fillId="0" borderId="7" xfId="1" applyFont="1" applyBorder="1" applyAlignment="1" applyProtection="1">
      <alignment horizontal="right" vertical="center"/>
    </xf>
    <xf numFmtId="0" fontId="11" fillId="0" borderId="0" xfId="3" applyFont="1" applyBorder="1" applyAlignment="1">
      <alignment vertical="center" wrapText="1"/>
    </xf>
    <xf numFmtId="0" fontId="11" fillId="0" borderId="70" xfId="3" applyFont="1" applyBorder="1" applyAlignment="1">
      <alignment vertical="center" wrapText="1"/>
    </xf>
    <xf numFmtId="0" fontId="28" fillId="0" borderId="85" xfId="3" applyFont="1" applyBorder="1" applyAlignment="1"/>
    <xf numFmtId="0" fontId="28" fillId="0" borderId="85" xfId="3" quotePrefix="1" applyFont="1" applyBorder="1" applyAlignment="1">
      <alignment vertical="center"/>
    </xf>
    <xf numFmtId="0" fontId="28" fillId="0" borderId="43" xfId="3" applyFont="1" applyBorder="1" applyAlignment="1"/>
    <xf numFmtId="0" fontId="28" fillId="0" borderId="43" xfId="3" applyFont="1" applyBorder="1" applyAlignment="1">
      <alignment vertical="center"/>
    </xf>
    <xf numFmtId="0" fontId="60" fillId="0" borderId="43" xfId="3" applyFont="1" applyBorder="1" applyAlignment="1">
      <alignment vertical="top"/>
    </xf>
    <xf numFmtId="0" fontId="28" fillId="0" borderId="1" xfId="3" applyFont="1" applyBorder="1" applyAlignment="1">
      <alignment vertical="center"/>
    </xf>
    <xf numFmtId="0" fontId="11" fillId="0" borderId="24" xfId="3" applyFont="1" applyBorder="1" applyAlignment="1">
      <alignment vertical="center"/>
    </xf>
    <xf numFmtId="0" fontId="11" fillId="0" borderId="138" xfId="3" applyFont="1" applyBorder="1" applyAlignment="1">
      <alignment vertical="center"/>
    </xf>
    <xf numFmtId="0" fontId="11" fillId="0" borderId="138" xfId="3" applyFont="1" applyFill="1" applyBorder="1" applyAlignment="1">
      <alignment vertical="center"/>
    </xf>
    <xf numFmtId="0" fontId="11" fillId="0" borderId="9" xfId="3" applyFont="1" applyBorder="1" applyAlignment="1">
      <alignment vertical="center"/>
    </xf>
    <xf numFmtId="0" fontId="11" fillId="0" borderId="91" xfId="3" applyFont="1" applyBorder="1" applyAlignment="1">
      <alignment vertical="center"/>
    </xf>
    <xf numFmtId="0" fontId="11" fillId="0" borderId="92" xfId="3" applyFont="1" applyBorder="1" applyAlignment="1">
      <alignment vertical="center"/>
    </xf>
    <xf numFmtId="0" fontId="11" fillId="0" borderId="89" xfId="3" applyFont="1" applyBorder="1" applyAlignment="1">
      <alignment vertical="center"/>
    </xf>
    <xf numFmtId="0" fontId="11" fillId="0" borderId="90" xfId="3" applyFont="1" applyBorder="1" applyAlignment="1">
      <alignment vertical="center"/>
    </xf>
    <xf numFmtId="0" fontId="11" fillId="0" borderId="89" xfId="3" applyFont="1" applyFill="1" applyBorder="1" applyAlignment="1">
      <alignment vertical="center"/>
    </xf>
    <xf numFmtId="0" fontId="11" fillId="0" borderId="90" xfId="3" applyFont="1" applyFill="1" applyBorder="1" applyAlignment="1">
      <alignment vertical="center"/>
    </xf>
    <xf numFmtId="0" fontId="3" fillId="0" borderId="30" xfId="3" applyFont="1" applyBorder="1" applyAlignment="1">
      <alignment vertical="center"/>
    </xf>
    <xf numFmtId="0" fontId="11" fillId="0" borderId="10" xfId="3" applyFont="1" applyBorder="1" applyAlignment="1">
      <alignment vertical="center"/>
    </xf>
    <xf numFmtId="0" fontId="11" fillId="0" borderId="4" xfId="3" applyFont="1" applyFill="1" applyBorder="1" applyAlignment="1">
      <alignment vertical="center"/>
    </xf>
    <xf numFmtId="0" fontId="11" fillId="0" borderId="12" xfId="3" applyFont="1" applyBorder="1" applyAlignment="1">
      <alignment vertical="center"/>
    </xf>
    <xf numFmtId="0" fontId="11" fillId="0" borderId="13" xfId="3" applyFont="1" applyBorder="1" applyAlignment="1">
      <alignment vertical="center"/>
    </xf>
    <xf numFmtId="0" fontId="28" fillId="0" borderId="17" xfId="3" applyFont="1" applyBorder="1" applyAlignment="1">
      <alignment vertical="center"/>
    </xf>
    <xf numFmtId="0" fontId="11" fillId="0" borderId="1" xfId="3" applyFont="1" applyBorder="1" applyAlignment="1">
      <alignment vertical="center"/>
    </xf>
    <xf numFmtId="0" fontId="28" fillId="0" borderId="2" xfId="3" applyFont="1" applyBorder="1" applyAlignment="1"/>
    <xf numFmtId="0" fontId="28" fillId="0" borderId="2" xfId="3" quotePrefix="1" applyFont="1" applyBorder="1" applyAlignment="1">
      <alignment vertical="center"/>
    </xf>
    <xf numFmtId="0" fontId="11" fillId="0" borderId="2" xfId="3" applyFont="1" applyBorder="1" applyAlignment="1">
      <alignment vertical="center" wrapText="1"/>
    </xf>
    <xf numFmtId="0" fontId="11" fillId="0" borderId="3" xfId="3" applyFont="1" applyBorder="1" applyAlignment="1">
      <alignment vertical="center" wrapText="1"/>
    </xf>
    <xf numFmtId="0" fontId="28" fillId="0" borderId="4" xfId="3" applyFont="1" applyBorder="1" applyAlignment="1">
      <alignment vertical="center"/>
    </xf>
    <xf numFmtId="0" fontId="11" fillId="0" borderId="9" xfId="3" applyFont="1" applyBorder="1" applyAlignment="1">
      <alignment vertical="center" wrapText="1"/>
    </xf>
    <xf numFmtId="0" fontId="11" fillId="0" borderId="59" xfId="3" applyFont="1" applyBorder="1" applyAlignment="1">
      <alignment vertical="center"/>
    </xf>
    <xf numFmtId="0" fontId="3" fillId="0" borderId="58" xfId="3" applyFont="1" applyBorder="1" applyAlignment="1">
      <alignment vertical="center"/>
    </xf>
    <xf numFmtId="0" fontId="11" fillId="0" borderId="87" xfId="3" applyFont="1" applyBorder="1" applyAlignment="1">
      <alignment vertical="center"/>
    </xf>
    <xf numFmtId="0" fontId="11" fillId="0" borderId="91" xfId="3" applyFont="1" applyBorder="1" applyAlignment="1">
      <alignment vertical="center" wrapText="1"/>
    </xf>
    <xf numFmtId="0" fontId="11" fillId="0" borderId="88" xfId="3" applyFont="1" applyBorder="1" applyAlignment="1">
      <alignment vertical="center"/>
    </xf>
    <xf numFmtId="0" fontId="28" fillId="6" borderId="2" xfId="3" applyFont="1" applyFill="1" applyBorder="1" applyAlignment="1">
      <alignment vertical="center"/>
    </xf>
    <xf numFmtId="0" fontId="11" fillId="6" borderId="2" xfId="3" applyFont="1" applyFill="1" applyBorder="1" applyAlignment="1">
      <alignment vertical="center"/>
    </xf>
    <xf numFmtId="0" fontId="4" fillId="6" borderId="101" xfId="3" applyFont="1" applyFill="1" applyBorder="1" applyAlignment="1">
      <alignment vertical="center"/>
    </xf>
    <xf numFmtId="0" fontId="11" fillId="6" borderId="101" xfId="3" applyFont="1" applyFill="1" applyBorder="1" applyAlignment="1">
      <alignment vertical="center"/>
    </xf>
    <xf numFmtId="0" fontId="52" fillId="4" borderId="183" xfId="3" applyFont="1" applyFill="1" applyBorder="1" applyAlignment="1">
      <alignment horizontal="center" vertical="center"/>
    </xf>
    <xf numFmtId="0" fontId="11" fillId="0" borderId="82" xfId="3" applyFont="1" applyBorder="1" applyAlignment="1">
      <alignment vertical="center"/>
    </xf>
    <xf numFmtId="0" fontId="3" fillId="0" borderId="12" xfId="3" applyFont="1" applyBorder="1" applyAlignment="1">
      <alignment horizontal="right" vertical="center"/>
    </xf>
    <xf numFmtId="0" fontId="11" fillId="0" borderId="189" xfId="3" applyFont="1" applyBorder="1" applyAlignment="1">
      <alignment vertical="center"/>
    </xf>
    <xf numFmtId="0" fontId="11" fillId="0" borderId="17" xfId="3" applyFont="1" applyBorder="1" applyAlignment="1">
      <alignment vertical="center"/>
    </xf>
    <xf numFmtId="0" fontId="11" fillId="0" borderId="18" xfId="3" applyFont="1" applyBorder="1" applyAlignment="1">
      <alignment vertical="center"/>
    </xf>
    <xf numFmtId="0" fontId="11" fillId="6" borderId="27" xfId="3" applyFont="1" applyFill="1" applyBorder="1" applyAlignment="1">
      <alignment vertical="center"/>
    </xf>
    <xf numFmtId="0" fontId="11" fillId="6" borderId="26" xfId="3" applyFont="1" applyFill="1" applyBorder="1" applyAlignment="1">
      <alignment vertical="center"/>
    </xf>
    <xf numFmtId="0" fontId="59" fillId="6" borderId="1" xfId="3" applyFont="1" applyFill="1" applyBorder="1" applyAlignment="1"/>
    <xf numFmtId="0" fontId="58" fillId="6" borderId="2" xfId="3" applyFont="1" applyFill="1" applyBorder="1"/>
    <xf numFmtId="0" fontId="19" fillId="6" borderId="2" xfId="3" applyFill="1" applyBorder="1"/>
    <xf numFmtId="0" fontId="19" fillId="6" borderId="3" xfId="3" applyFill="1" applyBorder="1"/>
    <xf numFmtId="0" fontId="19" fillId="6" borderId="4" xfId="3" applyFill="1" applyBorder="1"/>
    <xf numFmtId="0" fontId="19" fillId="6" borderId="5" xfId="3" applyFill="1" applyBorder="1"/>
    <xf numFmtId="0" fontId="19" fillId="6" borderId="6" xfId="3" applyFill="1" applyBorder="1"/>
    <xf numFmtId="0" fontId="58" fillId="6" borderId="7" xfId="3" applyFont="1" applyFill="1" applyBorder="1"/>
    <xf numFmtId="0" fontId="19" fillId="6" borderId="7" xfId="3" applyFill="1" applyBorder="1"/>
    <xf numFmtId="0" fontId="19" fillId="6" borderId="8" xfId="3" applyFill="1" applyBorder="1"/>
    <xf numFmtId="0" fontId="22" fillId="11" borderId="72" xfId="1" applyFont="1" applyFill="1" applyBorder="1" applyAlignment="1" applyProtection="1">
      <alignment vertical="center"/>
    </xf>
    <xf numFmtId="0" fontId="3" fillId="0" borderId="4" xfId="3" applyFont="1" applyBorder="1" applyAlignment="1">
      <alignment vertical="center" wrapText="1"/>
    </xf>
    <xf numFmtId="0" fontId="11" fillId="0" borderId="5" xfId="3" applyFont="1" applyBorder="1" applyAlignment="1">
      <alignment vertical="center" wrapText="1"/>
    </xf>
    <xf numFmtId="0" fontId="11" fillId="0" borderId="4" xfId="3" applyFont="1" applyBorder="1" applyAlignment="1">
      <alignment vertical="center" wrapText="1"/>
    </xf>
    <xf numFmtId="0" fontId="11" fillId="0" borderId="14" xfId="3" applyFont="1" applyBorder="1" applyAlignment="1">
      <alignment vertical="center" wrapText="1"/>
    </xf>
    <xf numFmtId="0" fontId="11" fillId="0" borderId="15" xfId="3" applyFont="1" applyBorder="1" applyAlignment="1">
      <alignment vertical="center" wrapText="1"/>
    </xf>
    <xf numFmtId="0" fontId="11" fillId="0" borderId="16" xfId="3" applyFont="1" applyBorder="1" applyAlignment="1">
      <alignment vertical="center" wrapText="1"/>
    </xf>
    <xf numFmtId="0" fontId="3" fillId="6" borderId="71" xfId="3" applyFont="1" applyFill="1" applyBorder="1" applyAlignment="1" applyProtection="1">
      <alignment vertical="center"/>
    </xf>
    <xf numFmtId="4" fontId="18" fillId="6" borderId="72" xfId="1" applyNumberFormat="1" applyFont="1" applyFill="1" applyBorder="1" applyAlignment="1" applyProtection="1">
      <alignment vertical="center"/>
    </xf>
    <xf numFmtId="4" fontId="18" fillId="6" borderId="131" xfId="1" applyNumberFormat="1" applyFont="1" applyFill="1" applyBorder="1" applyAlignment="1" applyProtection="1">
      <alignment vertical="center"/>
    </xf>
    <xf numFmtId="4" fontId="18" fillId="6" borderId="68" xfId="1" applyNumberFormat="1" applyFont="1" applyFill="1" applyBorder="1" applyAlignment="1" applyProtection="1">
      <alignment horizontal="center" vertical="center"/>
    </xf>
    <xf numFmtId="4" fontId="18" fillId="6" borderId="120" xfId="1" applyNumberFormat="1" applyFont="1" applyFill="1" applyBorder="1" applyAlignment="1" applyProtection="1">
      <alignment vertical="center"/>
    </xf>
    <xf numFmtId="4" fontId="18" fillId="6" borderId="67" xfId="1" applyNumberFormat="1" applyFont="1" applyFill="1" applyBorder="1" applyAlignment="1" applyProtection="1">
      <alignment vertical="center"/>
    </xf>
    <xf numFmtId="0" fontId="22" fillId="6" borderId="122" xfId="1" applyFont="1" applyFill="1" applyBorder="1" applyAlignment="1" applyProtection="1">
      <alignment horizontal="center" vertical="center"/>
    </xf>
    <xf numFmtId="1" fontId="22" fillId="6" borderId="122" xfId="1" applyNumberFormat="1" applyFont="1" applyFill="1" applyBorder="1" applyAlignment="1" applyProtection="1">
      <alignment horizontal="center" vertical="center"/>
    </xf>
    <xf numFmtId="3" fontId="18" fillId="6" borderId="33" xfId="1" applyNumberFormat="1" applyFont="1" applyFill="1" applyBorder="1" applyAlignment="1" applyProtection="1">
      <alignment vertical="center"/>
    </xf>
    <xf numFmtId="3" fontId="18" fillId="6" borderId="65" xfId="1" applyNumberFormat="1" applyFont="1" applyFill="1" applyBorder="1" applyAlignment="1" applyProtection="1">
      <alignment vertical="center"/>
    </xf>
    <xf numFmtId="3" fontId="18" fillId="6" borderId="72" xfId="1" applyNumberFormat="1" applyFont="1" applyFill="1" applyBorder="1" applyAlignment="1" applyProtection="1">
      <alignment vertical="center"/>
    </xf>
    <xf numFmtId="0" fontId="13" fillId="9" borderId="70" xfId="1" applyFill="1" applyBorder="1" applyProtection="1"/>
    <xf numFmtId="164" fontId="18" fillId="6" borderId="190" xfId="1" applyNumberFormat="1" applyFont="1" applyFill="1" applyBorder="1" applyAlignment="1" applyProtection="1">
      <alignment horizontal="center" vertical="center"/>
    </xf>
    <xf numFmtId="164" fontId="18" fillId="6" borderId="191" xfId="1" applyNumberFormat="1" applyFont="1" applyFill="1" applyBorder="1" applyAlignment="1" applyProtection="1">
      <alignment horizontal="center" vertical="center"/>
    </xf>
    <xf numFmtId="164" fontId="18" fillId="6" borderId="192" xfId="1" applyNumberFormat="1" applyFont="1" applyFill="1" applyBorder="1" applyAlignment="1" applyProtection="1">
      <alignment horizontal="center" vertical="center"/>
    </xf>
    <xf numFmtId="167" fontId="18" fillId="6" borderId="71" xfId="1" applyNumberFormat="1" applyFont="1" applyFill="1" applyBorder="1" applyAlignment="1" applyProtection="1">
      <alignment vertical="center"/>
    </xf>
    <xf numFmtId="167" fontId="18" fillId="6" borderId="72" xfId="1" applyNumberFormat="1" applyFont="1" applyFill="1" applyBorder="1" applyAlignment="1" applyProtection="1">
      <alignment vertical="center"/>
    </xf>
    <xf numFmtId="167" fontId="18" fillId="6" borderId="74" xfId="1" applyNumberFormat="1" applyFont="1" applyFill="1" applyBorder="1" applyAlignment="1" applyProtection="1">
      <alignment vertical="center"/>
    </xf>
    <xf numFmtId="164" fontId="18" fillId="6" borderId="53" xfId="1" applyNumberFormat="1" applyFont="1" applyFill="1" applyBorder="1" applyAlignment="1" applyProtection="1">
      <alignment horizontal="center" vertical="center"/>
    </xf>
    <xf numFmtId="167" fontId="18" fillId="6" borderId="60" xfId="1" applyNumberFormat="1" applyFont="1" applyFill="1" applyBorder="1" applyAlignment="1" applyProtection="1">
      <alignment vertical="center"/>
    </xf>
    <xf numFmtId="167" fontId="18" fillId="6" borderId="61" xfId="1" applyNumberFormat="1" applyFont="1" applyFill="1" applyBorder="1" applyAlignment="1" applyProtection="1">
      <alignment vertical="center"/>
    </xf>
    <xf numFmtId="167" fontId="18" fillId="6" borderId="76" xfId="1" applyNumberFormat="1" applyFont="1" applyFill="1" applyBorder="1" applyAlignment="1" applyProtection="1">
      <alignment vertical="center"/>
    </xf>
    <xf numFmtId="167" fontId="18" fillId="6" borderId="195" xfId="1" applyNumberFormat="1" applyFont="1" applyFill="1" applyBorder="1" applyAlignment="1" applyProtection="1">
      <alignment vertical="center"/>
    </xf>
    <xf numFmtId="167" fontId="18" fillId="6" borderId="173" xfId="1" applyNumberFormat="1" applyFont="1" applyFill="1" applyBorder="1" applyAlignment="1" applyProtection="1">
      <alignment vertical="center"/>
    </xf>
    <xf numFmtId="167" fontId="18" fillId="6" borderId="175" xfId="1" applyNumberFormat="1" applyFont="1" applyFill="1" applyBorder="1" applyAlignment="1" applyProtection="1">
      <alignment vertical="center"/>
    </xf>
    <xf numFmtId="4" fontId="18" fillId="6" borderId="113" xfId="1" applyNumberFormat="1" applyFont="1" applyFill="1" applyBorder="1" applyAlignment="1" applyProtection="1">
      <alignment vertical="center"/>
    </xf>
    <xf numFmtId="3" fontId="18" fillId="6" borderId="43" xfId="1" applyNumberFormat="1" applyFont="1" applyFill="1" applyBorder="1" applyAlignment="1" applyProtection="1">
      <alignment vertical="center"/>
    </xf>
    <xf numFmtId="167" fontId="18" fillId="6" borderId="190" xfId="1" applyNumberFormat="1" applyFont="1" applyFill="1" applyBorder="1" applyAlignment="1" applyProtection="1">
      <alignment vertical="center"/>
    </xf>
    <xf numFmtId="167" fontId="18" fillId="6" borderId="191" xfId="1" applyNumberFormat="1" applyFont="1" applyFill="1" applyBorder="1" applyAlignment="1" applyProtection="1">
      <alignment vertical="center"/>
    </xf>
    <xf numFmtId="167" fontId="18" fillId="6" borderId="192" xfId="1" applyNumberFormat="1" applyFont="1" applyFill="1" applyBorder="1" applyAlignment="1" applyProtection="1">
      <alignment vertical="center"/>
    </xf>
    <xf numFmtId="0" fontId="20" fillId="6" borderId="0" xfId="1" applyFont="1" applyFill="1" applyBorder="1" applyAlignment="1" applyProtection="1">
      <alignment horizontal="center"/>
    </xf>
    <xf numFmtId="0" fontId="15" fillId="6" borderId="196" xfId="1" applyFont="1" applyFill="1" applyBorder="1" applyAlignment="1" applyProtection="1">
      <alignment horizontal="center" vertical="center"/>
    </xf>
    <xf numFmtId="4" fontId="18" fillId="6" borderId="71" xfId="1" applyNumberFormat="1" applyFont="1" applyFill="1" applyBorder="1" applyAlignment="1" applyProtection="1">
      <alignment horizontal="center" vertical="center"/>
    </xf>
    <xf numFmtId="0" fontId="15" fillId="6" borderId="0" xfId="1" applyFont="1" applyFill="1" applyBorder="1" applyAlignment="1" applyProtection="1">
      <alignment vertical="center"/>
    </xf>
    <xf numFmtId="0" fontId="15" fillId="6" borderId="70" xfId="1" applyFont="1" applyFill="1" applyBorder="1" applyAlignment="1" applyProtection="1">
      <alignment vertical="center"/>
    </xf>
    <xf numFmtId="0" fontId="15" fillId="6" borderId="61" xfId="1" applyFont="1" applyFill="1" applyBorder="1" applyAlignment="1" applyProtection="1">
      <alignment vertical="center"/>
    </xf>
    <xf numFmtId="0" fontId="15" fillId="6" borderId="76" xfId="1" applyFont="1" applyFill="1" applyBorder="1" applyAlignment="1" applyProtection="1">
      <alignment vertical="center"/>
    </xf>
    <xf numFmtId="4" fontId="18" fillId="6" borderId="197" xfId="1" applyNumberFormat="1" applyFont="1" applyFill="1" applyBorder="1" applyAlignment="1" applyProtection="1">
      <alignment vertical="center"/>
    </xf>
    <xf numFmtId="4" fontId="18" fillId="6" borderId="198" xfId="1" applyNumberFormat="1" applyFont="1" applyFill="1" applyBorder="1" applyAlignment="1" applyProtection="1">
      <alignment vertical="center"/>
    </xf>
    <xf numFmtId="4" fontId="18" fillId="6" borderId="35" xfId="1" applyNumberFormat="1" applyFont="1" applyFill="1" applyBorder="1" applyAlignment="1" applyProtection="1">
      <alignment vertical="center"/>
    </xf>
    <xf numFmtId="4" fontId="18" fillId="6" borderId="24" xfId="1" applyNumberFormat="1" applyFont="1" applyFill="1" applyBorder="1" applyAlignment="1" applyProtection="1">
      <alignment vertical="center"/>
    </xf>
    <xf numFmtId="0" fontId="15" fillId="6" borderId="121" xfId="1" applyFont="1" applyFill="1" applyBorder="1" applyAlignment="1" applyProtection="1">
      <alignment horizontal="center" vertical="center"/>
    </xf>
    <xf numFmtId="0" fontId="15" fillId="6" borderId="0" xfId="1" applyFont="1" applyFill="1" applyBorder="1" applyProtection="1"/>
    <xf numFmtId="0" fontId="32" fillId="6" borderId="61" xfId="1" applyFont="1" applyFill="1" applyBorder="1" applyAlignment="1" applyProtection="1">
      <alignment horizontal="center" vertical="center"/>
    </xf>
    <xf numFmtId="3" fontId="18" fillId="6" borderId="74" xfId="1" applyNumberFormat="1" applyFont="1" applyFill="1" applyBorder="1" applyAlignment="1" applyProtection="1">
      <alignment horizontal="center" vertical="center"/>
    </xf>
    <xf numFmtId="4" fontId="18" fillId="6" borderId="199" xfId="1" applyNumberFormat="1" applyFont="1" applyFill="1" applyBorder="1" applyAlignment="1" applyProtection="1">
      <alignment vertical="center"/>
    </xf>
    <xf numFmtId="0" fontId="22" fillId="11" borderId="74" xfId="1" applyFont="1" applyFill="1" applyBorder="1" applyAlignment="1" applyProtection="1">
      <alignment vertical="center"/>
    </xf>
    <xf numFmtId="0" fontId="18" fillId="5" borderId="20" xfId="1" applyFont="1" applyFill="1" applyBorder="1" applyAlignment="1" applyProtection="1">
      <alignment vertical="center"/>
    </xf>
    <xf numFmtId="0" fontId="18" fillId="11" borderId="71" xfId="1" applyFont="1" applyFill="1" applyBorder="1" applyAlignment="1" applyProtection="1">
      <alignment vertical="center"/>
    </xf>
    <xf numFmtId="0" fontId="18" fillId="0" borderId="0" xfId="1" applyFont="1" applyFill="1" applyAlignment="1" applyProtection="1">
      <alignment horizontal="right" vertical="center"/>
    </xf>
    <xf numFmtId="0" fontId="18" fillId="5" borderId="64" xfId="1" applyFont="1" applyFill="1" applyBorder="1" applyAlignment="1" applyProtection="1">
      <alignment vertical="center"/>
    </xf>
    <xf numFmtId="0" fontId="52" fillId="4" borderId="202" xfId="3" applyFont="1" applyFill="1" applyBorder="1" applyAlignment="1">
      <alignment horizontal="center" vertical="center"/>
    </xf>
    <xf numFmtId="0" fontId="52" fillId="4" borderId="203" xfId="3" applyFont="1" applyFill="1" applyBorder="1" applyAlignment="1">
      <alignment horizontal="center" vertical="center"/>
    </xf>
    <xf numFmtId="0" fontId="52" fillId="4" borderId="204" xfId="3" applyFont="1" applyFill="1" applyBorder="1" applyAlignment="1">
      <alignment horizontal="center" vertical="center"/>
    </xf>
    <xf numFmtId="0" fontId="11" fillId="0" borderId="2" xfId="3" applyFont="1" applyBorder="1" applyAlignment="1">
      <alignment vertical="top" wrapText="1"/>
    </xf>
    <xf numFmtId="0" fontId="11" fillId="0" borderId="3" xfId="3" applyFont="1" applyBorder="1" applyAlignment="1">
      <alignment vertical="top" wrapText="1"/>
    </xf>
    <xf numFmtId="0" fontId="11" fillId="0" borderId="0" xfId="3" applyFont="1" applyBorder="1" applyAlignment="1">
      <alignment vertical="top" wrapText="1"/>
    </xf>
    <xf numFmtId="0" fontId="11" fillId="0" borderId="5" xfId="3" applyFont="1" applyBorder="1" applyAlignment="1">
      <alignment vertical="top" wrapText="1"/>
    </xf>
    <xf numFmtId="0" fontId="11" fillId="0" borderId="168" xfId="3" applyFont="1" applyBorder="1" applyAlignment="1">
      <alignment vertical="center"/>
    </xf>
    <xf numFmtId="0" fontId="39" fillId="0" borderId="7" xfId="1" applyFont="1" applyBorder="1" applyAlignment="1" applyProtection="1">
      <alignment vertical="center"/>
    </xf>
    <xf numFmtId="0" fontId="18" fillId="0" borderId="3" xfId="1" applyFont="1" applyBorder="1" applyAlignment="1" applyProtection="1">
      <alignment vertical="center"/>
    </xf>
    <xf numFmtId="0" fontId="18" fillId="0" borderId="158" xfId="1" applyFont="1" applyBorder="1" applyAlignment="1" applyProtection="1">
      <alignment vertical="center"/>
    </xf>
    <xf numFmtId="0" fontId="18" fillId="0" borderId="112" xfId="1" applyFont="1" applyBorder="1" applyAlignment="1" applyProtection="1">
      <alignment vertical="center"/>
    </xf>
    <xf numFmtId="0" fontId="18" fillId="0" borderId="21" xfId="1" applyFont="1" applyFill="1" applyBorder="1" applyAlignment="1" applyProtection="1">
      <alignment horizontal="right" vertical="center"/>
    </xf>
    <xf numFmtId="0" fontId="18" fillId="0" borderId="21" xfId="1" applyFont="1" applyFill="1" applyBorder="1" applyAlignment="1" applyProtection="1">
      <alignment vertical="center"/>
    </xf>
    <xf numFmtId="0" fontId="18" fillId="0" borderId="22" xfId="1" applyFont="1" applyFill="1" applyBorder="1" applyAlignment="1" applyProtection="1">
      <alignment vertical="center"/>
    </xf>
    <xf numFmtId="0" fontId="18" fillId="0" borderId="33" xfId="1" applyFont="1" applyFill="1" applyBorder="1" applyAlignment="1" applyProtection="1">
      <alignment horizontal="right" vertical="center"/>
    </xf>
    <xf numFmtId="0" fontId="18" fillId="0" borderId="0" xfId="1" applyFont="1" applyFill="1" applyBorder="1" applyAlignment="1" applyProtection="1">
      <alignment horizontal="right" vertical="center"/>
    </xf>
    <xf numFmtId="0" fontId="18" fillId="0" borderId="7" xfId="1" applyFont="1" applyFill="1" applyBorder="1" applyAlignment="1" applyProtection="1">
      <alignment horizontal="right" vertical="center"/>
    </xf>
    <xf numFmtId="0" fontId="36" fillId="7" borderId="206" xfId="1" applyFont="1" applyFill="1" applyBorder="1" applyAlignment="1" applyProtection="1">
      <alignment vertical="center"/>
    </xf>
    <xf numFmtId="0" fontId="35" fillId="7" borderId="206" xfId="1" applyFont="1" applyFill="1" applyBorder="1" applyAlignment="1" applyProtection="1">
      <alignment vertical="center"/>
    </xf>
    <xf numFmtId="1" fontId="34" fillId="7" borderId="172" xfId="0" applyNumberFormat="1" applyFont="1" applyFill="1" applyBorder="1" applyAlignment="1" applyProtection="1">
      <alignment horizontal="center" vertical="center"/>
    </xf>
    <xf numFmtId="1" fontId="34" fillId="7" borderId="200" xfId="0" applyNumberFormat="1" applyFont="1" applyFill="1" applyBorder="1" applyAlignment="1" applyProtection="1">
      <alignment horizontal="center" vertical="center"/>
    </xf>
    <xf numFmtId="0" fontId="18" fillId="0" borderId="85" xfId="1" applyFont="1" applyFill="1" applyBorder="1" applyAlignment="1" applyProtection="1">
      <alignment vertical="center"/>
    </xf>
    <xf numFmtId="0" fontId="18" fillId="0" borderId="90" xfId="1" applyFont="1" applyFill="1" applyBorder="1" applyAlignment="1" applyProtection="1">
      <alignment vertical="center"/>
    </xf>
    <xf numFmtId="0" fontId="18" fillId="0" borderId="85" xfId="1" applyFont="1" applyBorder="1" applyAlignment="1" applyProtection="1">
      <alignment vertical="center"/>
    </xf>
    <xf numFmtId="0" fontId="18" fillId="0" borderId="69" xfId="1" applyFont="1" applyBorder="1" applyAlignment="1" applyProtection="1">
      <alignment vertical="center"/>
    </xf>
    <xf numFmtId="0" fontId="18" fillId="0" borderId="80" xfId="1" applyFont="1" applyBorder="1" applyAlignment="1" applyProtection="1">
      <alignment vertical="center"/>
    </xf>
    <xf numFmtId="3" fontId="18" fillId="0" borderId="0" xfId="1" applyNumberFormat="1" applyFont="1" applyBorder="1" applyAlignment="1" applyProtection="1">
      <alignment vertical="center"/>
    </xf>
    <xf numFmtId="0" fontId="18" fillId="4" borderId="72" xfId="1" applyFont="1" applyFill="1" applyBorder="1" applyAlignment="1" applyProtection="1">
      <alignment vertical="center"/>
    </xf>
    <xf numFmtId="0" fontId="18" fillId="4" borderId="74" xfId="1" applyFont="1" applyFill="1" applyBorder="1" applyAlignment="1" applyProtection="1">
      <alignment vertical="center"/>
    </xf>
    <xf numFmtId="0" fontId="18" fillId="7" borderId="78" xfId="1" applyFont="1" applyFill="1" applyBorder="1" applyAlignment="1" applyProtection="1">
      <alignment horizontal="right" vertical="center"/>
    </xf>
    <xf numFmtId="0" fontId="18" fillId="0" borderId="22" xfId="1" applyFont="1" applyBorder="1" applyAlignment="1" applyProtection="1">
      <alignment vertical="center" wrapText="1"/>
    </xf>
    <xf numFmtId="0" fontId="18" fillId="0" borderId="159" xfId="1" applyFont="1" applyBorder="1" applyAlignment="1" applyProtection="1">
      <alignment vertical="center" wrapText="1"/>
    </xf>
    <xf numFmtId="0" fontId="39" fillId="0" borderId="61" xfId="1" applyFont="1" applyBorder="1" applyAlignment="1" applyProtection="1">
      <alignment vertical="top"/>
    </xf>
    <xf numFmtId="0" fontId="18" fillId="0" borderId="76" xfId="1" applyFont="1" applyBorder="1" applyAlignment="1" applyProtection="1">
      <alignment vertical="center"/>
    </xf>
    <xf numFmtId="176" fontId="18" fillId="5" borderId="57" xfId="1" applyNumberFormat="1" applyFont="1" applyFill="1" applyBorder="1" applyAlignment="1" applyProtection="1">
      <alignment vertical="center"/>
    </xf>
    <xf numFmtId="0" fontId="18" fillId="0" borderId="49" xfId="1" applyFont="1" applyBorder="1" applyAlignment="1" applyProtection="1">
      <alignment vertical="center" wrapText="1"/>
    </xf>
    <xf numFmtId="0" fontId="18" fillId="0" borderId="43" xfId="1" applyFont="1" applyBorder="1" applyAlignment="1" applyProtection="1">
      <alignment vertical="center"/>
    </xf>
    <xf numFmtId="0" fontId="18" fillId="0" borderId="92" xfId="1" applyFont="1" applyBorder="1" applyAlignment="1" applyProtection="1">
      <alignment vertical="center"/>
    </xf>
    <xf numFmtId="0" fontId="18" fillId="0" borderId="93" xfId="1" applyFont="1" applyBorder="1" applyAlignment="1" applyProtection="1">
      <alignment vertical="center"/>
    </xf>
    <xf numFmtId="0" fontId="18" fillId="0" borderId="141" xfId="1" applyFont="1" applyBorder="1" applyAlignment="1" applyProtection="1">
      <alignment vertical="center"/>
    </xf>
    <xf numFmtId="0" fontId="78" fillId="4" borderId="7" xfId="3" applyFont="1" applyFill="1" applyBorder="1" applyAlignment="1">
      <alignment vertical="center"/>
    </xf>
    <xf numFmtId="0" fontId="79" fillId="4" borderId="181" xfId="3" applyFont="1" applyFill="1" applyBorder="1" applyAlignment="1">
      <alignment horizontal="center" vertical="center"/>
    </xf>
    <xf numFmtId="0" fontId="28" fillId="6" borderId="133" xfId="3" applyFont="1" applyFill="1" applyBorder="1" applyAlignment="1">
      <alignment vertical="center"/>
    </xf>
    <xf numFmtId="0" fontId="11" fillId="6" borderId="133" xfId="3" applyFont="1" applyFill="1" applyBorder="1" applyAlignment="1">
      <alignment vertical="center"/>
    </xf>
    <xf numFmtId="3" fontId="18" fillId="6" borderId="134" xfId="1" applyNumberFormat="1" applyFont="1" applyFill="1" applyBorder="1" applyAlignment="1" applyProtection="1">
      <alignment vertical="center"/>
    </xf>
    <xf numFmtId="167" fontId="18" fillId="6" borderId="193" xfId="1" applyNumberFormat="1" applyFont="1" applyFill="1" applyBorder="1" applyAlignment="1" applyProtection="1">
      <alignment vertical="center"/>
    </xf>
    <xf numFmtId="167" fontId="18" fillId="6" borderId="174" xfId="1" applyNumberFormat="1" applyFont="1" applyFill="1" applyBorder="1" applyAlignment="1" applyProtection="1">
      <alignment vertical="center"/>
    </xf>
    <xf numFmtId="167" fontId="18" fillId="6" borderId="194" xfId="1" applyNumberFormat="1" applyFont="1" applyFill="1" applyBorder="1" applyAlignment="1" applyProtection="1">
      <alignment vertical="center"/>
    </xf>
    <xf numFmtId="0" fontId="13" fillId="0" borderId="4" xfId="1" applyFill="1" applyBorder="1" applyProtection="1"/>
    <xf numFmtId="0" fontId="13" fillId="0" borderId="0" xfId="1" applyFill="1" applyBorder="1" applyAlignment="1" applyProtection="1">
      <alignment vertical="top" wrapText="1"/>
    </xf>
    <xf numFmtId="0" fontId="13" fillId="0" borderId="5" xfId="1" applyFill="1" applyBorder="1" applyAlignment="1" applyProtection="1">
      <alignment vertical="top" wrapText="1"/>
    </xf>
    <xf numFmtId="0" fontId="13" fillId="0" borderId="0" xfId="1" applyFill="1" applyBorder="1" applyProtection="1"/>
    <xf numFmtId="0" fontId="13" fillId="0" borderId="5" xfId="1" applyFill="1" applyBorder="1" applyProtection="1"/>
    <xf numFmtId="0" fontId="13" fillId="0" borderId="0" xfId="1" applyFill="1" applyBorder="1" applyAlignment="1" applyProtection="1"/>
    <xf numFmtId="0" fontId="13" fillId="0" borderId="6" xfId="1" applyFill="1" applyBorder="1" applyProtection="1"/>
    <xf numFmtId="0" fontId="13" fillId="0" borderId="7" xfId="1" applyFill="1" applyBorder="1" applyProtection="1"/>
    <xf numFmtId="0" fontId="13" fillId="0" borderId="8" xfId="1" applyFill="1" applyBorder="1" applyProtection="1"/>
    <xf numFmtId="0" fontId="18" fillId="6" borderId="61" xfId="1" applyFont="1" applyFill="1" applyBorder="1" applyAlignment="1" applyProtection="1">
      <alignment horizontal="right" vertical="center"/>
    </xf>
    <xf numFmtId="0" fontId="13" fillId="9" borderId="0" xfId="1" applyFont="1" applyFill="1" applyProtection="1"/>
    <xf numFmtId="0" fontId="13" fillId="6" borderId="70" xfId="1" applyFont="1" applyFill="1" applyBorder="1" applyAlignment="1" applyProtection="1"/>
    <xf numFmtId="0" fontId="13" fillId="6" borderId="76" xfId="1" applyFont="1" applyFill="1" applyBorder="1" applyAlignment="1" applyProtection="1"/>
    <xf numFmtId="0" fontId="13" fillId="9" borderId="0" xfId="1" applyFont="1" applyFill="1" applyAlignment="1" applyProtection="1"/>
    <xf numFmtId="3" fontId="18" fillId="6" borderId="151" xfId="1" applyNumberFormat="1" applyFont="1" applyFill="1" applyBorder="1" applyAlignment="1" applyProtection="1">
      <alignment vertical="center"/>
    </xf>
    <xf numFmtId="3" fontId="18" fillId="6" borderId="87" xfId="1" applyNumberFormat="1" applyFont="1" applyFill="1" applyBorder="1" applyAlignment="1" applyProtection="1">
      <alignment vertical="center"/>
    </xf>
    <xf numFmtId="0" fontId="18" fillId="6" borderId="57" xfId="1" applyFont="1" applyFill="1" applyBorder="1" applyAlignment="1" applyProtection="1">
      <alignment vertical="center"/>
    </xf>
    <xf numFmtId="0" fontId="18" fillId="6" borderId="80" xfId="1" applyFont="1" applyFill="1" applyBorder="1" applyAlignment="1" applyProtection="1">
      <alignment vertical="center"/>
    </xf>
    <xf numFmtId="0" fontId="18" fillId="6" borderId="2" xfId="1" applyFont="1" applyFill="1" applyBorder="1" applyAlignment="1" applyProtection="1">
      <alignment vertical="center"/>
    </xf>
    <xf numFmtId="0" fontId="18" fillId="6" borderId="2" xfId="1" applyFont="1" applyFill="1" applyBorder="1" applyAlignment="1" applyProtection="1">
      <alignment horizontal="right" vertical="center"/>
    </xf>
    <xf numFmtId="3" fontId="18" fillId="6" borderId="126" xfId="1" applyNumberFormat="1" applyFont="1" applyFill="1" applyBorder="1" applyAlignment="1" applyProtection="1">
      <alignment vertical="center"/>
    </xf>
    <xf numFmtId="0" fontId="18" fillId="6" borderId="81" xfId="1" applyFont="1" applyFill="1" applyBorder="1" applyAlignment="1" applyProtection="1">
      <alignment vertical="center"/>
    </xf>
    <xf numFmtId="0" fontId="18" fillId="6" borderId="68" xfId="1" applyFont="1" applyFill="1" applyBorder="1" applyAlignment="1" applyProtection="1">
      <alignment vertical="center"/>
    </xf>
    <xf numFmtId="0" fontId="18" fillId="6" borderId="33" xfId="1" applyFont="1" applyFill="1" applyBorder="1" applyAlignment="1" applyProtection="1">
      <alignment horizontal="right" vertical="center"/>
    </xf>
    <xf numFmtId="3" fontId="18" fillId="6" borderId="39" xfId="1" applyNumberFormat="1" applyFont="1" applyFill="1" applyBorder="1" applyAlignment="1" applyProtection="1">
      <alignment vertical="center"/>
    </xf>
    <xf numFmtId="0" fontId="18" fillId="6" borderId="69" xfId="1" applyFont="1" applyFill="1" applyBorder="1" applyAlignment="1" applyProtection="1">
      <alignment vertical="center"/>
    </xf>
    <xf numFmtId="3" fontId="18" fillId="6" borderId="209" xfId="1" applyNumberFormat="1" applyFont="1" applyFill="1" applyBorder="1" applyAlignment="1" applyProtection="1">
      <alignment vertical="center"/>
    </xf>
    <xf numFmtId="0" fontId="18" fillId="6" borderId="76" xfId="1" applyFont="1" applyFill="1" applyBorder="1" applyAlignment="1" applyProtection="1">
      <alignment vertical="center"/>
    </xf>
    <xf numFmtId="0" fontId="18" fillId="0" borderId="209" xfId="1" applyFont="1" applyBorder="1" applyAlignment="1" applyProtection="1">
      <alignment vertical="center"/>
    </xf>
    <xf numFmtId="0" fontId="18" fillId="0" borderId="16" xfId="1" applyFont="1" applyBorder="1" applyAlignment="1" applyProtection="1">
      <alignment horizontal="center" vertical="center"/>
    </xf>
    <xf numFmtId="0" fontId="13" fillId="0" borderId="0" xfId="1" applyFill="1" applyBorder="1" applyAlignment="1" applyProtection="1">
      <alignment vertical="top"/>
    </xf>
    <xf numFmtId="181" fontId="32" fillId="0" borderId="0" xfId="1" applyNumberFormat="1" applyFont="1" applyFill="1" applyBorder="1" applyAlignment="1" applyProtection="1">
      <alignment vertical="top" wrapText="1"/>
    </xf>
    <xf numFmtId="0" fontId="13" fillId="0" borderId="4" xfId="1" applyFill="1" applyBorder="1" applyAlignment="1" applyProtection="1">
      <alignment vertical="top" wrapText="1"/>
    </xf>
    <xf numFmtId="0" fontId="18" fillId="0" borderId="4" xfId="1" applyFont="1" applyBorder="1" applyAlignment="1" applyProtection="1">
      <alignment vertical="center"/>
    </xf>
    <xf numFmtId="181" fontId="32" fillId="0" borderId="5" xfId="1" applyNumberFormat="1" applyFont="1" applyFill="1" applyBorder="1" applyAlignment="1" applyProtection="1">
      <alignment vertical="center" wrapText="1"/>
    </xf>
    <xf numFmtId="0" fontId="43" fillId="10" borderId="1" xfId="1" applyFont="1" applyFill="1" applyBorder="1" applyAlignment="1" applyProtection="1">
      <alignment vertical="top"/>
    </xf>
    <xf numFmtId="0" fontId="43" fillId="10" borderId="2" xfId="1" applyFont="1" applyFill="1" applyBorder="1" applyAlignment="1" applyProtection="1">
      <alignment vertical="top" wrapText="1"/>
    </xf>
    <xf numFmtId="0" fontId="43" fillId="10" borderId="3" xfId="1" applyFont="1" applyFill="1" applyBorder="1" applyAlignment="1" applyProtection="1">
      <alignment vertical="top" wrapText="1"/>
    </xf>
    <xf numFmtId="0" fontId="22" fillId="0" borderId="30" xfId="1" applyFont="1" applyFill="1" applyBorder="1" applyAlignment="1" applyProtection="1">
      <alignment horizontal="right" vertical="center"/>
    </xf>
    <xf numFmtId="0" fontId="18" fillId="0" borderId="9" xfId="1" applyFont="1" applyFill="1" applyBorder="1" applyAlignment="1" applyProtection="1">
      <alignment horizontal="right" vertical="center"/>
    </xf>
    <xf numFmtId="0" fontId="13" fillId="0" borderId="30" xfId="1" applyFill="1" applyBorder="1" applyProtection="1"/>
    <xf numFmtId="0" fontId="13" fillId="0" borderId="9" xfId="1" applyFill="1" applyBorder="1" applyProtection="1"/>
    <xf numFmtId="0" fontId="18" fillId="0" borderId="4" xfId="1" applyFont="1" applyFill="1" applyBorder="1" applyAlignment="1" applyProtection="1">
      <alignment vertical="center"/>
    </xf>
    <xf numFmtId="0" fontId="18" fillId="0" borderId="5" xfId="1" applyFont="1" applyFill="1" applyBorder="1" applyAlignment="1" applyProtection="1">
      <alignment vertical="center"/>
    </xf>
    <xf numFmtId="0" fontId="18" fillId="0" borderId="1" xfId="1" applyFont="1" applyFill="1" applyBorder="1" applyAlignment="1" applyProtection="1">
      <alignment vertical="center"/>
    </xf>
    <xf numFmtId="0" fontId="18" fillId="0" borderId="2" xfId="1" applyFont="1" applyFill="1" applyBorder="1" applyAlignment="1" applyProtection="1">
      <alignment vertical="center"/>
    </xf>
    <xf numFmtId="0" fontId="18" fillId="0" borderId="6" xfId="1" applyFont="1" applyFill="1" applyBorder="1" applyAlignment="1" applyProtection="1">
      <alignment vertical="center"/>
    </xf>
    <xf numFmtId="1" fontId="77" fillId="5" borderId="56" xfId="1" applyNumberFormat="1" applyFont="1" applyFill="1" applyBorder="1" applyAlignment="1" applyProtection="1">
      <alignment vertical="center"/>
    </xf>
    <xf numFmtId="167" fontId="77" fillId="5" borderId="7" xfId="1" applyNumberFormat="1" applyFont="1" applyFill="1" applyBorder="1" applyAlignment="1" applyProtection="1">
      <alignment vertical="center"/>
    </xf>
    <xf numFmtId="0" fontId="77" fillId="5" borderId="88" xfId="1" applyFont="1" applyFill="1" applyBorder="1" applyAlignment="1" applyProtection="1">
      <alignment vertical="center"/>
    </xf>
    <xf numFmtId="0" fontId="57" fillId="0" borderId="2" xfId="1" applyFont="1" applyBorder="1" applyAlignment="1" applyProtection="1">
      <alignment vertical="center" textRotation="90" wrapText="1"/>
    </xf>
    <xf numFmtId="0" fontId="18" fillId="0" borderId="9" xfId="1" applyFont="1" applyBorder="1" applyAlignment="1" applyProtection="1">
      <alignment horizontal="right" vertical="center"/>
    </xf>
    <xf numFmtId="0" fontId="18" fillId="0" borderId="44" xfId="1" applyFont="1" applyBorder="1" applyAlignment="1" applyProtection="1">
      <alignment vertical="center"/>
    </xf>
    <xf numFmtId="0" fontId="18" fillId="4" borderId="71" xfId="1" applyFont="1" applyFill="1" applyBorder="1" applyAlignment="1" applyProtection="1">
      <alignment vertical="center"/>
    </xf>
    <xf numFmtId="0" fontId="39" fillId="0" borderId="0" xfId="1" applyFont="1" applyAlignment="1" applyProtection="1">
      <alignment vertical="center"/>
    </xf>
    <xf numFmtId="0" fontId="2" fillId="0" borderId="0" xfId="3" applyFont="1" applyBorder="1" applyAlignment="1" applyProtection="1">
      <alignment horizontal="right" vertical="center"/>
    </xf>
    <xf numFmtId="0" fontId="18" fillId="0" borderId="0" xfId="1" applyFont="1" applyAlignment="1" applyProtection="1">
      <alignment horizontal="right" vertical="center"/>
    </xf>
    <xf numFmtId="0" fontId="18" fillId="0" borderId="4" xfId="1" applyFont="1" applyFill="1" applyBorder="1" applyProtection="1"/>
    <xf numFmtId="0" fontId="18" fillId="0" borderId="10" xfId="1" applyFont="1" applyBorder="1" applyAlignment="1" applyProtection="1">
      <alignment vertical="center"/>
    </xf>
    <xf numFmtId="0" fontId="38" fillId="0" borderId="22" xfId="1" applyFont="1" applyBorder="1" applyAlignment="1" applyProtection="1">
      <alignment vertical="center"/>
    </xf>
    <xf numFmtId="0" fontId="38" fillId="0" borderId="57" xfId="1" applyFont="1" applyBorder="1" applyAlignment="1" applyProtection="1">
      <alignment vertical="center"/>
    </xf>
    <xf numFmtId="0" fontId="18" fillId="0" borderId="6" xfId="1" applyFont="1" applyBorder="1" applyAlignment="1" applyProtection="1">
      <alignment vertical="center"/>
    </xf>
    <xf numFmtId="0" fontId="43" fillId="10" borderId="51" xfId="1" applyFont="1" applyFill="1" applyBorder="1" applyProtection="1"/>
    <xf numFmtId="0" fontId="44" fillId="10" borderId="52" xfId="1" applyFont="1" applyFill="1" applyBorder="1" applyProtection="1"/>
    <xf numFmtId="0" fontId="13" fillId="10" borderId="52" xfId="1" applyFill="1" applyBorder="1" applyProtection="1"/>
    <xf numFmtId="0" fontId="13" fillId="10" borderId="53" xfId="1" applyFill="1" applyBorder="1" applyProtection="1"/>
    <xf numFmtId="0" fontId="13" fillId="0" borderId="75" xfId="1" applyFill="1" applyBorder="1" applyProtection="1"/>
    <xf numFmtId="0" fontId="13" fillId="0" borderId="70" xfId="1" applyFill="1" applyBorder="1" applyAlignment="1" applyProtection="1">
      <alignment vertical="top" wrapText="1"/>
    </xf>
    <xf numFmtId="0" fontId="13" fillId="0" borderId="70" xfId="1" applyFill="1" applyBorder="1" applyProtection="1"/>
    <xf numFmtId="0" fontId="13" fillId="0" borderId="70" xfId="1" applyFill="1" applyBorder="1" applyAlignment="1" applyProtection="1"/>
    <xf numFmtId="0" fontId="13" fillId="0" borderId="60" xfId="1" applyFill="1" applyBorder="1" applyProtection="1"/>
    <xf numFmtId="0" fontId="13" fillId="0" borderId="61" xfId="1" applyFill="1" applyBorder="1" applyProtection="1"/>
    <xf numFmtId="0" fontId="13" fillId="0" borderId="76" xfId="1" applyFill="1" applyBorder="1" applyProtection="1"/>
    <xf numFmtId="0" fontId="38" fillId="0" borderId="7" xfId="1" applyFont="1" applyBorder="1" applyAlignment="1" applyProtection="1">
      <alignment vertical="center"/>
    </xf>
    <xf numFmtId="0" fontId="18" fillId="0" borderId="7" xfId="1" applyFont="1" applyBorder="1" applyAlignment="1" applyProtection="1">
      <alignment horizontal="right" vertical="center"/>
    </xf>
    <xf numFmtId="0" fontId="18" fillId="0" borderId="75" xfId="1" applyFont="1" applyBorder="1" applyAlignment="1" applyProtection="1">
      <alignment vertical="center" wrapText="1"/>
    </xf>
    <xf numFmtId="0" fontId="18" fillId="0" borderId="0" xfId="1" applyFont="1" applyAlignment="1" applyProtection="1">
      <alignment vertical="center" wrapText="1"/>
    </xf>
    <xf numFmtId="0" fontId="1" fillId="0" borderId="162" xfId="3" applyFont="1" applyBorder="1" applyAlignment="1">
      <alignment vertical="center"/>
    </xf>
    <xf numFmtId="0" fontId="11" fillId="6" borderId="114" xfId="3" applyFont="1" applyFill="1" applyBorder="1" applyAlignment="1">
      <alignment vertical="center"/>
    </xf>
    <xf numFmtId="0" fontId="11" fillId="6" borderId="85" xfId="3" applyFont="1" applyFill="1" applyBorder="1" applyAlignment="1">
      <alignment vertical="center"/>
    </xf>
    <xf numFmtId="0" fontId="11" fillId="6" borderId="138" xfId="3" applyFont="1" applyFill="1" applyBorder="1" applyAlignment="1">
      <alignment vertical="center"/>
    </xf>
    <xf numFmtId="0" fontId="11" fillId="6" borderId="89" xfId="3" applyFont="1" applyFill="1" applyBorder="1" applyAlignment="1">
      <alignment vertical="center"/>
    </xf>
    <xf numFmtId="0" fontId="11" fillId="6" borderId="90" xfId="3" applyFont="1" applyFill="1" applyBorder="1" applyAlignment="1">
      <alignment vertical="center"/>
    </xf>
    <xf numFmtId="0" fontId="11" fillId="6" borderId="118" xfId="3" applyFont="1" applyFill="1" applyBorder="1" applyAlignment="1">
      <alignment vertical="center"/>
    </xf>
    <xf numFmtId="0" fontId="11" fillId="6" borderId="4" xfId="3" applyFont="1" applyFill="1" applyBorder="1" applyAlignment="1">
      <alignment vertical="center"/>
    </xf>
    <xf numFmtId="0" fontId="11" fillId="6" borderId="0" xfId="3" applyFont="1" applyFill="1" applyBorder="1" applyAlignment="1">
      <alignment vertical="center"/>
    </xf>
    <xf numFmtId="1" fontId="22" fillId="6" borderId="134" xfId="1" applyNumberFormat="1" applyFont="1" applyFill="1" applyBorder="1" applyAlignment="1" applyProtection="1">
      <alignment horizontal="center" vertical="center"/>
    </xf>
    <xf numFmtId="0" fontId="58" fillId="6" borderId="213" xfId="3" applyFont="1" applyFill="1" applyBorder="1"/>
    <xf numFmtId="0" fontId="19" fillId="6" borderId="213" xfId="3" applyFill="1" applyBorder="1"/>
    <xf numFmtId="0" fontId="19" fillId="6" borderId="214" xfId="3" applyFill="1" applyBorder="1"/>
    <xf numFmtId="0" fontId="19" fillId="6" borderId="215" xfId="3" applyFill="1" applyBorder="1"/>
    <xf numFmtId="0" fontId="19" fillId="6" borderId="216" xfId="3" applyFill="1" applyBorder="1"/>
    <xf numFmtId="0" fontId="19" fillId="6" borderId="217" xfId="3" applyFill="1" applyBorder="1"/>
    <xf numFmtId="0" fontId="58" fillId="6" borderId="218" xfId="3" applyFont="1" applyFill="1" applyBorder="1"/>
    <xf numFmtId="0" fontId="19" fillId="6" borderId="218" xfId="3" applyFill="1" applyBorder="1"/>
    <xf numFmtId="0" fontId="19" fillId="6" borderId="219" xfId="3" applyFill="1" applyBorder="1"/>
    <xf numFmtId="0" fontId="18" fillId="0" borderId="220" xfId="1" quotePrefix="1" applyFont="1" applyBorder="1" applyAlignment="1" applyProtection="1">
      <alignment horizontal="center" vertical="center"/>
    </xf>
    <xf numFmtId="0" fontId="38" fillId="0" borderId="21" xfId="1" applyFont="1" applyBorder="1" applyAlignment="1" applyProtection="1">
      <alignment vertical="center"/>
    </xf>
    <xf numFmtId="0" fontId="18" fillId="0" borderId="21" xfId="1" applyFont="1" applyBorder="1" applyAlignment="1" applyProtection="1">
      <alignment horizontal="right" vertical="center"/>
    </xf>
    <xf numFmtId="0" fontId="18" fillId="0" borderId="38" xfId="1" applyFont="1" applyBorder="1" applyAlignment="1" applyProtection="1">
      <alignment horizontal="right" vertical="center"/>
    </xf>
    <xf numFmtId="0" fontId="18" fillId="0" borderId="110" xfId="1" applyFont="1" applyBorder="1" applyAlignment="1" applyProtection="1">
      <alignment horizontal="right" vertical="center"/>
    </xf>
    <xf numFmtId="0" fontId="81" fillId="0" borderId="33" xfId="1" applyFont="1" applyBorder="1" applyAlignment="1" applyProtection="1">
      <alignment vertical="center"/>
      <protection locked="0"/>
    </xf>
    <xf numFmtId="0" fontId="81" fillId="0" borderId="33" xfId="1" applyFont="1" applyBorder="1" applyAlignment="1" applyProtection="1">
      <alignment horizontal="right" vertical="center"/>
      <protection locked="0"/>
    </xf>
    <xf numFmtId="0" fontId="81" fillId="0" borderId="33" xfId="1" applyFont="1" applyBorder="1" applyAlignment="1" applyProtection="1">
      <alignment vertical="center"/>
    </xf>
    <xf numFmtId="0" fontId="81" fillId="0" borderId="69" xfId="1" applyFont="1" applyBorder="1" applyAlignment="1" applyProtection="1">
      <alignment vertical="center"/>
      <protection locked="0"/>
    </xf>
    <xf numFmtId="0" fontId="82" fillId="0" borderId="0" xfId="1" applyFont="1" applyBorder="1" applyAlignment="1" applyProtection="1">
      <alignment vertical="center"/>
      <protection locked="0"/>
    </xf>
    <xf numFmtId="0" fontId="83" fillId="0" borderId="17" xfId="1" applyFont="1" applyBorder="1" applyAlignment="1" applyProtection="1">
      <alignment vertical="center"/>
      <protection locked="0"/>
    </xf>
    <xf numFmtId="0" fontId="39" fillId="0" borderId="156" xfId="1" applyFont="1" applyBorder="1" applyAlignment="1" applyProtection="1">
      <alignment vertical="center"/>
    </xf>
    <xf numFmtId="0" fontId="18" fillId="0" borderId="7" xfId="1" applyFont="1" applyBorder="1" applyAlignment="1" applyProtection="1">
      <alignment horizontal="right" vertical="center"/>
    </xf>
    <xf numFmtId="0" fontId="83" fillId="0" borderId="17" xfId="1" applyFont="1" applyBorder="1" applyAlignment="1" applyProtection="1">
      <alignment vertical="center"/>
    </xf>
    <xf numFmtId="0" fontId="18" fillId="3" borderId="134" xfId="1" applyFont="1" applyFill="1" applyBorder="1" applyAlignment="1" applyProtection="1">
      <alignment horizontal="center" vertical="center"/>
    </xf>
    <xf numFmtId="0" fontId="81" fillId="0" borderId="33" xfId="1" applyFont="1" applyBorder="1" applyAlignment="1" applyProtection="1">
      <alignment horizontal="right" vertical="center"/>
    </xf>
    <xf numFmtId="0" fontId="81" fillId="0" borderId="69" xfId="1" applyFont="1" applyBorder="1" applyAlignment="1" applyProtection="1">
      <alignment vertical="center"/>
    </xf>
    <xf numFmtId="0" fontId="82" fillId="0" borderId="0" xfId="1" applyFont="1" applyBorder="1" applyAlignment="1" applyProtection="1">
      <alignment vertical="center"/>
    </xf>
    <xf numFmtId="0" fontId="39" fillId="0" borderId="43" xfId="1" applyFont="1" applyBorder="1" applyAlignment="1" applyProtection="1">
      <alignment vertical="center"/>
    </xf>
    <xf numFmtId="0" fontId="18" fillId="0" borderId="0" xfId="1" applyFont="1" applyAlignment="1" applyProtection="1">
      <alignment vertical="center"/>
      <protection locked="0"/>
    </xf>
    <xf numFmtId="0" fontId="91" fillId="6" borderId="212" xfId="3" applyFont="1" applyFill="1" applyBorder="1" applyAlignment="1"/>
    <xf numFmtId="0" fontId="12" fillId="6" borderId="215" xfId="3" applyFont="1" applyFill="1" applyBorder="1"/>
    <xf numFmtId="0" fontId="15" fillId="6" borderId="0" xfId="3" applyFont="1" applyFill="1" applyBorder="1"/>
    <xf numFmtId="0" fontId="92" fillId="6" borderId="0" xfId="3" applyFont="1" applyFill="1" applyBorder="1"/>
    <xf numFmtId="0" fontId="12" fillId="6" borderId="0" xfId="3" applyFont="1" applyFill="1" applyBorder="1"/>
    <xf numFmtId="0" fontId="12" fillId="6" borderId="216" xfId="3" applyFont="1" applyFill="1" applyBorder="1"/>
    <xf numFmtId="4" fontId="18" fillId="6" borderId="119" xfId="1" applyNumberFormat="1" applyFont="1" applyFill="1" applyBorder="1" applyAlignment="1" applyProtection="1">
      <alignment vertical="center"/>
    </xf>
    <xf numFmtId="4" fontId="18" fillId="6" borderId="71" xfId="1" applyNumberFormat="1" applyFont="1" applyFill="1" applyBorder="1" applyAlignment="1" applyProtection="1">
      <alignment vertical="center"/>
    </xf>
    <xf numFmtId="0" fontId="20" fillId="6" borderId="221" xfId="1" applyFont="1" applyFill="1" applyBorder="1" applyAlignment="1" applyProtection="1">
      <alignment horizontal="center" vertical="center"/>
    </xf>
    <xf numFmtId="2" fontId="18" fillId="6" borderId="71" xfId="1" applyNumberFormat="1" applyFont="1" applyFill="1" applyBorder="1" applyAlignment="1" applyProtection="1">
      <alignment vertical="center"/>
    </xf>
    <xf numFmtId="0" fontId="94" fillId="6" borderId="2" xfId="3" applyFont="1" applyFill="1" applyBorder="1"/>
    <xf numFmtId="0" fontId="94" fillId="6" borderId="0" xfId="3" applyFont="1" applyFill="1" applyBorder="1"/>
    <xf numFmtId="0" fontId="95" fillId="6" borderId="0" xfId="3" applyFont="1" applyFill="1" applyBorder="1"/>
    <xf numFmtId="0" fontId="12" fillId="6" borderId="4" xfId="3" applyFont="1" applyFill="1" applyBorder="1"/>
    <xf numFmtId="0" fontId="12" fillId="6" borderId="5" xfId="3" applyFont="1" applyFill="1" applyBorder="1"/>
    <xf numFmtId="0" fontId="13" fillId="6" borderId="2" xfId="3" applyFont="1" applyFill="1" applyBorder="1"/>
    <xf numFmtId="0" fontId="13" fillId="6" borderId="0" xfId="3" applyFont="1" applyFill="1" applyBorder="1"/>
    <xf numFmtId="0" fontId="95" fillId="6" borderId="215" xfId="3" applyFont="1" applyFill="1" applyBorder="1"/>
    <xf numFmtId="0" fontId="95" fillId="6" borderId="216" xfId="3" applyFont="1" applyFill="1" applyBorder="1"/>
    <xf numFmtId="0" fontId="30" fillId="6" borderId="213" xfId="3" applyFont="1" applyFill="1" applyBorder="1"/>
    <xf numFmtId="0" fontId="95" fillId="6" borderId="215" xfId="3" applyFont="1" applyFill="1" applyBorder="1" applyAlignment="1">
      <alignment horizontal="left" wrapText="1"/>
    </xf>
    <xf numFmtId="0" fontId="95" fillId="6" borderId="0" xfId="3" applyFont="1" applyFill="1" applyBorder="1" applyAlignment="1">
      <alignment horizontal="left" wrapText="1"/>
    </xf>
    <xf numFmtId="0" fontId="95" fillId="6" borderId="216" xfId="3" applyFont="1" applyFill="1" applyBorder="1" applyAlignment="1">
      <alignment horizontal="left" wrapText="1"/>
    </xf>
    <xf numFmtId="0" fontId="18" fillId="0" borderId="0" xfId="5" applyFont="1" applyAlignment="1">
      <alignment horizontal="left" vertical="center" wrapText="1"/>
    </xf>
    <xf numFmtId="0" fontId="18" fillId="0" borderId="0" xfId="5" applyFont="1" applyBorder="1" applyAlignment="1">
      <alignment horizontal="left" vertical="top" wrapText="1"/>
    </xf>
    <xf numFmtId="0" fontId="18" fillId="0" borderId="0" xfId="5" applyFont="1" applyAlignment="1">
      <alignment horizontal="left" vertical="top" wrapText="1"/>
    </xf>
    <xf numFmtId="0" fontId="18" fillId="0" borderId="0" xfId="5" applyFont="1" applyBorder="1" applyAlignment="1">
      <alignment horizontal="left" vertical="center" wrapText="1"/>
    </xf>
    <xf numFmtId="0" fontId="30" fillId="0" borderId="1" xfId="5" applyFont="1" applyBorder="1" applyAlignment="1">
      <alignment horizontal="center" vertical="center" wrapText="1"/>
    </xf>
    <xf numFmtId="0" fontId="30" fillId="0" borderId="2" xfId="5" applyFont="1" applyBorder="1" applyAlignment="1">
      <alignment horizontal="center" vertical="center" wrapText="1"/>
    </xf>
    <xf numFmtId="0" fontId="30" fillId="0" borderId="3" xfId="5" applyFont="1" applyBorder="1" applyAlignment="1">
      <alignment horizontal="center" vertical="center" wrapText="1"/>
    </xf>
    <xf numFmtId="0" fontId="30" fillId="0" borderId="4" xfId="5" applyFont="1" applyBorder="1" applyAlignment="1">
      <alignment horizontal="center" vertical="center" wrapText="1"/>
    </xf>
    <xf numFmtId="0" fontId="30" fillId="0" borderId="0" xfId="5" applyFont="1" applyBorder="1" applyAlignment="1">
      <alignment horizontal="center" vertical="center" wrapText="1"/>
    </xf>
    <xf numFmtId="0" fontId="30" fillId="0" borderId="5" xfId="5" applyFont="1" applyBorder="1" applyAlignment="1">
      <alignment horizontal="center" vertical="center" wrapText="1"/>
    </xf>
    <xf numFmtId="0" fontId="30" fillId="0" borderId="6" xfId="5" applyFont="1" applyBorder="1" applyAlignment="1">
      <alignment horizontal="center" vertical="center" wrapText="1"/>
    </xf>
    <xf numFmtId="0" fontId="30" fillId="0" borderId="7" xfId="5" applyFont="1" applyBorder="1" applyAlignment="1">
      <alignment horizontal="center" vertical="center" wrapText="1"/>
    </xf>
    <xf numFmtId="0" fontId="30" fillId="0" borderId="8" xfId="5" applyFont="1" applyBorder="1" applyAlignment="1">
      <alignment horizontal="center" vertical="center" wrapText="1"/>
    </xf>
    <xf numFmtId="168" fontId="32" fillId="0" borderId="15" xfId="5" applyNumberFormat="1" applyFont="1" applyFill="1" applyBorder="1" applyAlignment="1">
      <alignment horizontal="center" vertical="center"/>
    </xf>
    <xf numFmtId="0" fontId="18" fillId="0" borderId="36" xfId="5" applyFont="1" applyFill="1" applyBorder="1" applyAlignment="1" applyProtection="1">
      <alignment horizontal="left" vertical="center"/>
    </xf>
    <xf numFmtId="0" fontId="0" fillId="0" borderId="23" xfId="0" applyBorder="1"/>
    <xf numFmtId="0" fontId="0" fillId="0" borderId="94" xfId="0" applyBorder="1"/>
    <xf numFmtId="0" fontId="76" fillId="0" borderId="0" xfId="5" applyFont="1" applyBorder="1" applyAlignment="1" applyProtection="1">
      <alignment horizontal="left" vertical="top" wrapText="1"/>
      <protection locked="0"/>
    </xf>
    <xf numFmtId="0" fontId="76" fillId="0" borderId="43" xfId="5" applyFont="1" applyBorder="1" applyAlignment="1" applyProtection="1">
      <alignment horizontal="left" vertical="top" wrapText="1"/>
      <protection locked="0"/>
    </xf>
    <xf numFmtId="0" fontId="18" fillId="0" borderId="1" xfId="5" applyFont="1" applyBorder="1" applyAlignment="1" applyProtection="1">
      <alignment horizontal="left" vertical="center" wrapText="1"/>
      <protection locked="0"/>
    </xf>
    <xf numFmtId="0" fontId="18" fillId="0" borderId="2" xfId="5" applyFont="1" applyBorder="1" applyAlignment="1" applyProtection="1">
      <alignment horizontal="left" vertical="center" wrapText="1"/>
      <protection locked="0"/>
    </xf>
    <xf numFmtId="0" fontId="18" fillId="0" borderId="4" xfId="5" applyFont="1" applyBorder="1" applyAlignment="1" applyProtection="1">
      <alignment horizontal="left" vertical="center" wrapText="1"/>
      <protection locked="0"/>
    </xf>
    <xf numFmtId="0" fontId="18" fillId="0" borderId="0" xfId="5" applyFont="1" applyBorder="1" applyAlignment="1" applyProtection="1">
      <alignment horizontal="left" vertical="center" wrapText="1"/>
      <protection locked="0"/>
    </xf>
    <xf numFmtId="14" fontId="18" fillId="0" borderId="23" xfId="5" applyNumberFormat="1" applyFont="1" applyFill="1" applyBorder="1" applyAlignment="1" applyProtection="1">
      <alignment horizontal="right" vertical="center"/>
    </xf>
    <xf numFmtId="0" fontId="0" fillId="0" borderId="23" xfId="0" applyBorder="1" applyAlignment="1">
      <alignment horizontal="right"/>
    </xf>
    <xf numFmtId="0" fontId="0" fillId="0" borderId="94" xfId="0" applyBorder="1" applyAlignment="1">
      <alignment horizontal="right"/>
    </xf>
    <xf numFmtId="0" fontId="18" fillId="0" borderId="11" xfId="5" applyFont="1" applyBorder="1" applyAlignment="1">
      <alignment horizontal="center" vertical="center"/>
    </xf>
    <xf numFmtId="0" fontId="18" fillId="0" borderId="12" xfId="5" applyFont="1" applyBorder="1" applyAlignment="1">
      <alignment horizontal="center" vertical="center"/>
    </xf>
    <xf numFmtId="0" fontId="15" fillId="0" borderId="12" xfId="5" applyFont="1" applyFill="1" applyBorder="1" applyAlignment="1">
      <alignment horizontal="left" vertical="center"/>
    </xf>
    <xf numFmtId="0" fontId="18" fillId="0" borderId="12" xfId="5" applyFont="1" applyBorder="1" applyAlignment="1">
      <alignment horizontal="right" vertical="center"/>
    </xf>
    <xf numFmtId="0" fontId="15" fillId="0" borderId="12" xfId="5" applyNumberFormat="1" applyFont="1" applyFill="1" applyBorder="1" applyAlignment="1">
      <alignment horizontal="left" vertical="center"/>
    </xf>
    <xf numFmtId="0" fontId="15" fillId="0" borderId="13" xfId="5" applyNumberFormat="1" applyFont="1" applyFill="1" applyBorder="1" applyAlignment="1">
      <alignment horizontal="left" vertical="center"/>
    </xf>
    <xf numFmtId="0" fontId="20" fillId="0" borderId="14" xfId="5" applyFont="1" applyBorder="1" applyAlignment="1">
      <alignment horizontal="center" vertical="center"/>
    </xf>
    <xf numFmtId="0" fontId="20" fillId="0" borderId="15" xfId="5" applyFont="1" applyBorder="1" applyAlignment="1">
      <alignment horizontal="center" vertical="center"/>
    </xf>
    <xf numFmtId="0" fontId="14" fillId="0" borderId="1" xfId="5" applyFont="1" applyBorder="1" applyAlignment="1">
      <alignment horizontal="center" vertical="center"/>
    </xf>
    <xf numFmtId="0" fontId="14" fillId="0" borderId="2" xfId="5" applyFont="1" applyBorder="1" applyAlignment="1">
      <alignment horizontal="center" vertical="center"/>
    </xf>
    <xf numFmtId="0" fontId="14" fillId="0" borderId="6" xfId="5" applyFont="1" applyBorder="1" applyAlignment="1">
      <alignment horizontal="center" vertical="center"/>
    </xf>
    <xf numFmtId="0" fontId="14" fillId="0" borderId="7" xfId="5" applyFont="1" applyBorder="1" applyAlignment="1">
      <alignment horizontal="center" vertical="center"/>
    </xf>
    <xf numFmtId="0" fontId="45" fillId="12" borderId="1" xfId="6" applyFont="1" applyFill="1" applyBorder="1" applyAlignment="1" applyProtection="1">
      <alignment horizontal="center" vertical="center"/>
    </xf>
    <xf numFmtId="0" fontId="45" fillId="12" borderId="2" xfId="6" applyFont="1" applyFill="1" applyBorder="1" applyAlignment="1" applyProtection="1">
      <alignment horizontal="center" vertical="center"/>
    </xf>
    <xf numFmtId="0" fontId="45" fillId="12" borderId="3" xfId="6" applyFont="1" applyFill="1" applyBorder="1" applyAlignment="1" applyProtection="1">
      <alignment horizontal="center" vertical="center"/>
    </xf>
    <xf numFmtId="0" fontId="45" fillId="12" borderId="6" xfId="6" applyFont="1" applyFill="1" applyBorder="1" applyAlignment="1" applyProtection="1">
      <alignment horizontal="center" vertical="center"/>
    </xf>
    <xf numFmtId="0" fontId="45" fillId="12" borderId="7" xfId="6" applyFont="1" applyFill="1" applyBorder="1" applyAlignment="1" applyProtection="1">
      <alignment horizontal="center" vertical="center"/>
    </xf>
    <xf numFmtId="0" fontId="45" fillId="12" borderId="8" xfId="6" applyFont="1" applyFill="1" applyBorder="1" applyAlignment="1" applyProtection="1">
      <alignment horizontal="center" vertical="center"/>
    </xf>
    <xf numFmtId="0" fontId="16" fillId="0" borderId="4" xfId="1" applyFont="1" applyBorder="1" applyAlignment="1" applyProtection="1">
      <alignment horizontal="right"/>
    </xf>
    <xf numFmtId="0" fontId="16" fillId="0" borderId="0" xfId="1" applyFont="1" applyBorder="1" applyAlignment="1" applyProtection="1">
      <alignment horizontal="right"/>
    </xf>
    <xf numFmtId="0" fontId="16" fillId="0" borderId="14" xfId="1" applyFont="1" applyBorder="1" applyAlignment="1" applyProtection="1">
      <alignment horizontal="right"/>
    </xf>
    <xf numFmtId="0" fontId="16" fillId="0" borderId="15" xfId="1" applyFont="1" applyBorder="1" applyAlignment="1" applyProtection="1">
      <alignment horizontal="right"/>
    </xf>
    <xf numFmtId="0" fontId="17" fillId="0" borderId="0" xfId="1" applyFont="1" applyBorder="1" applyAlignment="1" applyProtection="1">
      <alignment horizontal="left"/>
    </xf>
    <xf numFmtId="0" fontId="17" fillId="0" borderId="5" xfId="1" applyFont="1" applyBorder="1" applyAlignment="1" applyProtection="1">
      <alignment horizontal="left"/>
    </xf>
    <xf numFmtId="0" fontId="17" fillId="0" borderId="15" xfId="1" applyFont="1" applyBorder="1" applyAlignment="1" applyProtection="1">
      <alignment horizontal="left"/>
    </xf>
    <xf numFmtId="0" fontId="17" fillId="0" borderId="16" xfId="1" applyFont="1" applyBorder="1" applyAlignment="1" applyProtection="1">
      <alignment horizontal="left"/>
    </xf>
    <xf numFmtId="0" fontId="18" fillId="0" borderId="20" xfId="5" applyFont="1" applyFill="1" applyBorder="1" applyAlignment="1" applyProtection="1">
      <alignment horizontal="left" vertical="center"/>
    </xf>
    <xf numFmtId="0" fontId="18" fillId="0" borderId="21" xfId="5" applyFont="1" applyFill="1" applyBorder="1" applyAlignment="1" applyProtection="1">
      <alignment horizontal="left" vertical="center"/>
    </xf>
    <xf numFmtId="0" fontId="18" fillId="0" borderId="22" xfId="5" applyFont="1" applyFill="1" applyBorder="1" applyAlignment="1" applyProtection="1">
      <alignment horizontal="left" vertical="center"/>
    </xf>
    <xf numFmtId="14" fontId="18" fillId="0" borderId="21" xfId="5" applyNumberFormat="1" applyFont="1" applyFill="1" applyBorder="1" applyAlignment="1" applyProtection="1">
      <alignment horizontal="right" vertical="center"/>
    </xf>
    <xf numFmtId="0" fontId="0" fillId="0" borderId="21" xfId="0" applyBorder="1" applyAlignment="1">
      <alignment horizontal="right"/>
    </xf>
    <xf numFmtId="0" fontId="0" fillId="0" borderId="22" xfId="0" applyBorder="1" applyAlignment="1">
      <alignment horizontal="right"/>
    </xf>
    <xf numFmtId="4" fontId="18" fillId="6" borderId="75" xfId="1" applyNumberFormat="1" applyFont="1" applyFill="1" applyBorder="1" applyAlignment="1" applyProtection="1">
      <alignment horizontal="center" vertical="center"/>
    </xf>
    <xf numFmtId="4" fontId="18" fillId="6" borderId="60" xfId="1" applyNumberFormat="1" applyFont="1" applyFill="1" applyBorder="1" applyAlignment="1" applyProtection="1">
      <alignment horizontal="center" vertical="center"/>
    </xf>
    <xf numFmtId="4" fontId="13" fillId="6" borderId="75" xfId="1" applyNumberFormat="1" applyFill="1" applyBorder="1" applyAlignment="1" applyProtection="1">
      <alignment horizontal="center" vertical="center"/>
    </xf>
    <xf numFmtId="4" fontId="13" fillId="6" borderId="60" xfId="1" applyNumberFormat="1" applyFill="1" applyBorder="1" applyAlignment="1" applyProtection="1">
      <alignment horizontal="center" vertical="center"/>
    </xf>
    <xf numFmtId="0" fontId="22" fillId="5" borderId="87" xfId="1" applyFont="1" applyFill="1" applyBorder="1" applyAlignment="1" applyProtection="1">
      <alignment horizontal="center" vertical="center"/>
    </xf>
    <xf numFmtId="0" fontId="22" fillId="5" borderId="49" xfId="1" applyFont="1" applyFill="1" applyBorder="1" applyAlignment="1" applyProtection="1">
      <alignment horizontal="center" vertical="center"/>
    </xf>
    <xf numFmtId="0" fontId="22" fillId="5" borderId="6" xfId="1" applyFont="1" applyFill="1" applyBorder="1" applyAlignment="1" applyProtection="1">
      <alignment horizontal="center" vertical="center"/>
    </xf>
    <xf numFmtId="0" fontId="22" fillId="5" borderId="148" xfId="1" applyFont="1" applyFill="1" applyBorder="1" applyAlignment="1" applyProtection="1">
      <alignment horizontal="center" vertical="center"/>
    </xf>
    <xf numFmtId="0" fontId="22" fillId="5" borderId="38" xfId="1" applyFont="1" applyFill="1" applyBorder="1" applyAlignment="1" applyProtection="1">
      <alignment horizontal="center" vertical="center"/>
    </xf>
    <xf numFmtId="0" fontId="22" fillId="5" borderId="112" xfId="1" applyFont="1" applyFill="1" applyBorder="1" applyAlignment="1" applyProtection="1">
      <alignment horizontal="center" vertical="center"/>
    </xf>
    <xf numFmtId="167" fontId="18" fillId="3" borderId="17" xfId="1" applyNumberFormat="1" applyFont="1" applyFill="1" applyBorder="1" applyAlignment="1" applyProtection="1">
      <alignment horizontal="right" vertical="center"/>
    </xf>
    <xf numFmtId="0" fontId="13" fillId="0" borderId="0" xfId="1" applyFill="1" applyBorder="1" applyAlignment="1" applyProtection="1">
      <alignment horizontal="left" vertical="top" wrapText="1"/>
    </xf>
    <xf numFmtId="0" fontId="13" fillId="0" borderId="70" xfId="1" applyFill="1" applyBorder="1" applyAlignment="1" applyProtection="1">
      <alignment horizontal="left" vertical="top" wrapText="1"/>
    </xf>
    <xf numFmtId="0" fontId="18" fillId="7" borderId="19" xfId="1" applyFont="1" applyFill="1" applyBorder="1" applyAlignment="1" applyProtection="1">
      <alignment horizontal="center" vertical="center"/>
    </xf>
    <xf numFmtId="0" fontId="18" fillId="7" borderId="20" xfId="1" applyFont="1" applyFill="1" applyBorder="1" applyAlignment="1" applyProtection="1">
      <alignment horizontal="center" vertical="center"/>
    </xf>
    <xf numFmtId="3" fontId="27" fillId="4" borderId="21" xfId="0" applyNumberFormat="1" applyFont="1" applyFill="1" applyBorder="1" applyAlignment="1" applyProtection="1">
      <alignment horizontal="right" vertical="center"/>
    </xf>
    <xf numFmtId="3" fontId="18" fillId="4" borderId="65" xfId="1" applyNumberFormat="1" applyFont="1" applyFill="1" applyBorder="1" applyAlignment="1" applyProtection="1">
      <alignment horizontal="right" vertical="center"/>
    </xf>
    <xf numFmtId="0" fontId="18" fillId="7" borderId="32" xfId="1" applyFont="1" applyFill="1" applyBorder="1" applyAlignment="1" applyProtection="1">
      <alignment horizontal="center" vertical="center"/>
    </xf>
    <xf numFmtId="0" fontId="18" fillId="7" borderId="33" xfId="1" applyFont="1" applyFill="1" applyBorder="1" applyAlignment="1" applyProtection="1">
      <alignment horizontal="center" vertical="center"/>
    </xf>
    <xf numFmtId="167" fontId="18" fillId="7" borderId="47" xfId="1" applyNumberFormat="1" applyFont="1" applyFill="1" applyBorder="1" applyAlignment="1" applyProtection="1">
      <alignment horizontal="right" vertical="center"/>
    </xf>
    <xf numFmtId="167" fontId="18" fillId="7" borderId="19" xfId="1" applyNumberFormat="1" applyFont="1" applyFill="1" applyBorder="1" applyAlignment="1" applyProtection="1">
      <alignment horizontal="right" vertical="center"/>
    </xf>
    <xf numFmtId="167" fontId="18" fillId="7" borderId="19" xfId="1" applyNumberFormat="1" applyFont="1" applyFill="1" applyBorder="1" applyAlignment="1" applyProtection="1">
      <alignment horizontal="center" vertical="center"/>
    </xf>
    <xf numFmtId="0" fontId="30" fillId="11" borderId="152" xfId="1" applyFont="1" applyFill="1" applyBorder="1" applyAlignment="1" applyProtection="1">
      <alignment horizontal="left" vertical="center"/>
    </xf>
    <xf numFmtId="0" fontId="30" fillId="11" borderId="153" xfId="1" applyFont="1" applyFill="1" applyBorder="1" applyAlignment="1" applyProtection="1">
      <alignment horizontal="left" vertical="center"/>
    </xf>
    <xf numFmtId="0" fontId="18" fillId="3" borderId="43" xfId="1" applyFont="1" applyFill="1" applyBorder="1" applyAlignment="1" applyProtection="1">
      <alignment horizontal="right" vertical="center"/>
    </xf>
    <xf numFmtId="0" fontId="82" fillId="0" borderId="75" xfId="1" applyFont="1" applyBorder="1" applyAlignment="1" applyProtection="1">
      <alignment horizontal="left" vertical="top" wrapText="1"/>
    </xf>
    <xf numFmtId="0" fontId="82" fillId="0" borderId="0" xfId="1" applyFont="1" applyBorder="1" applyAlignment="1" applyProtection="1">
      <alignment horizontal="left" vertical="top" wrapText="1"/>
    </xf>
    <xf numFmtId="0" fontId="82" fillId="0" borderId="92" xfId="1" applyFont="1" applyBorder="1" applyAlignment="1" applyProtection="1">
      <alignment horizontal="left" vertical="top" wrapText="1"/>
    </xf>
    <xf numFmtId="0" fontId="20" fillId="3" borderId="21" xfId="1" applyFont="1" applyFill="1" applyBorder="1" applyAlignment="1" applyProtection="1">
      <alignment horizontal="left" vertical="center"/>
    </xf>
    <xf numFmtId="186" fontId="32" fillId="0" borderId="0" xfId="1" applyNumberFormat="1" applyFont="1" applyFill="1" applyBorder="1" applyAlignment="1" applyProtection="1">
      <alignment horizontal="right" vertical="center"/>
    </xf>
    <xf numFmtId="14" fontId="18" fillId="3" borderId="21" xfId="1" applyNumberFormat="1" applyFont="1" applyFill="1" applyBorder="1" applyAlignment="1" applyProtection="1">
      <alignment horizontal="right" vertical="center"/>
    </xf>
    <xf numFmtId="0" fontId="18" fillId="3" borderId="21" xfId="1" applyFont="1" applyFill="1" applyBorder="1" applyAlignment="1" applyProtection="1">
      <alignment horizontal="right" vertical="center"/>
    </xf>
    <xf numFmtId="0" fontId="18" fillId="3" borderId="22" xfId="1" applyFont="1" applyFill="1" applyBorder="1" applyAlignment="1" applyProtection="1">
      <alignment horizontal="right" vertical="center"/>
    </xf>
    <xf numFmtId="0" fontId="13" fillId="6" borderId="75" xfId="1" applyFill="1" applyBorder="1" applyAlignment="1" applyProtection="1">
      <alignment horizontal="center"/>
    </xf>
    <xf numFmtId="0" fontId="13" fillId="6" borderId="0" xfId="1" applyFill="1" applyBorder="1" applyAlignment="1" applyProtection="1">
      <alignment horizontal="center"/>
    </xf>
    <xf numFmtId="0" fontId="13" fillId="6" borderId="70" xfId="1" applyFill="1" applyBorder="1" applyAlignment="1" applyProtection="1">
      <alignment horizontal="center"/>
    </xf>
    <xf numFmtId="0" fontId="18" fillId="3" borderId="12" xfId="1" applyFont="1" applyFill="1" applyBorder="1" applyAlignment="1" applyProtection="1">
      <alignment horizontal="left" vertical="center"/>
    </xf>
    <xf numFmtId="0" fontId="18" fillId="3" borderId="13" xfId="1" applyFont="1" applyFill="1" applyBorder="1" applyAlignment="1" applyProtection="1">
      <alignment horizontal="left" vertical="center"/>
    </xf>
    <xf numFmtId="14" fontId="57" fillId="3" borderId="15" xfId="1" applyNumberFormat="1" applyFont="1" applyFill="1" applyBorder="1" applyAlignment="1" applyProtection="1">
      <alignment horizontal="left" vertical="center"/>
    </xf>
    <xf numFmtId="0" fontId="18" fillId="3" borderId="15" xfId="1" applyFont="1" applyFill="1" applyBorder="1" applyAlignment="1" applyProtection="1">
      <alignment horizontal="right" vertical="center"/>
    </xf>
    <xf numFmtId="0" fontId="18" fillId="3" borderId="16" xfId="1" applyFont="1" applyFill="1" applyBorder="1" applyAlignment="1" applyProtection="1">
      <alignment horizontal="right" vertical="center"/>
    </xf>
    <xf numFmtId="0" fontId="18" fillId="6" borderId="75" xfId="1" applyFont="1" applyFill="1" applyBorder="1" applyAlignment="1" applyProtection="1">
      <alignment horizontal="center" textRotation="90"/>
    </xf>
    <xf numFmtId="0" fontId="14" fillId="6" borderId="51" xfId="1" applyFont="1" applyFill="1" applyBorder="1" applyAlignment="1" applyProtection="1">
      <alignment horizontal="left" vertical="center"/>
    </xf>
    <xf numFmtId="0" fontId="14" fillId="6" borderId="52" xfId="1" applyFont="1" applyFill="1" applyBorder="1" applyAlignment="1" applyProtection="1">
      <alignment horizontal="left" vertical="center"/>
    </xf>
    <xf numFmtId="0" fontId="14" fillId="6" borderId="53" xfId="1" applyFont="1" applyFill="1" applyBorder="1" applyAlignment="1" applyProtection="1">
      <alignment horizontal="left" vertical="center"/>
    </xf>
    <xf numFmtId="0" fontId="14" fillId="6" borderId="75" xfId="1" applyFont="1" applyFill="1" applyBorder="1" applyAlignment="1" applyProtection="1">
      <alignment horizontal="left" vertical="center"/>
    </xf>
    <xf numFmtId="0" fontId="14" fillId="6" borderId="0" xfId="1" applyFont="1" applyFill="1" applyBorder="1" applyAlignment="1" applyProtection="1">
      <alignment horizontal="left" vertical="center"/>
    </xf>
    <xf numFmtId="0" fontId="14" fillId="6" borderId="70" xfId="1" applyFont="1" applyFill="1" applyBorder="1" applyAlignment="1" applyProtection="1">
      <alignment horizontal="left" vertical="center"/>
    </xf>
    <xf numFmtId="0" fontId="22" fillId="6" borderId="124" xfId="1" applyFont="1" applyFill="1" applyBorder="1" applyAlignment="1" applyProtection="1">
      <alignment horizontal="center" vertical="center" textRotation="90"/>
    </xf>
    <xf numFmtId="0" fontId="22" fillId="6" borderId="122" xfId="1" applyFont="1" applyFill="1" applyBorder="1" applyAlignment="1" applyProtection="1">
      <alignment horizontal="center" vertical="center" textRotation="90"/>
    </xf>
    <xf numFmtId="0" fontId="18" fillId="6" borderId="60" xfId="1" applyFont="1" applyFill="1" applyBorder="1" applyAlignment="1" applyProtection="1">
      <alignment horizontal="center" textRotation="90"/>
    </xf>
    <xf numFmtId="0" fontId="32" fillId="0" borderId="1" xfId="1" applyFont="1" applyBorder="1" applyAlignment="1" applyProtection="1">
      <alignment horizontal="center" vertical="center"/>
    </xf>
    <xf numFmtId="0" fontId="32" fillId="0" borderId="2" xfId="1" applyFont="1" applyBorder="1" applyAlignment="1" applyProtection="1">
      <alignment horizontal="center" vertical="center"/>
    </xf>
    <xf numFmtId="0" fontId="32" fillId="0" borderId="6" xfId="1" applyFont="1" applyBorder="1" applyAlignment="1" applyProtection="1">
      <alignment horizontal="center" vertical="center"/>
    </xf>
    <xf numFmtId="0" fontId="32" fillId="0" borderId="7" xfId="1" applyFont="1" applyBorder="1" applyAlignment="1" applyProtection="1">
      <alignment horizontal="center" vertical="center"/>
    </xf>
    <xf numFmtId="0" fontId="32" fillId="0" borderId="2" xfId="1" applyFont="1" applyBorder="1" applyAlignment="1" applyProtection="1">
      <alignment horizontal="left" vertical="center" wrapText="1"/>
    </xf>
    <xf numFmtId="0" fontId="32" fillId="0" borderId="7" xfId="1" applyFont="1" applyBorder="1" applyAlignment="1" applyProtection="1">
      <alignment horizontal="left" vertical="center" wrapText="1"/>
    </xf>
    <xf numFmtId="0" fontId="18" fillId="0" borderId="80" xfId="1" applyFont="1" applyBorder="1" applyAlignment="1" applyProtection="1">
      <alignment horizontal="center" vertical="center"/>
    </xf>
    <xf numFmtId="0" fontId="18" fillId="0" borderId="3" xfId="1" applyFont="1" applyBorder="1" applyAlignment="1" applyProtection="1">
      <alignment horizontal="center" vertical="center"/>
    </xf>
    <xf numFmtId="0" fontId="14" fillId="2" borderId="2" xfId="1" applyFont="1" applyFill="1" applyBorder="1" applyAlignment="1" applyProtection="1">
      <alignment horizontal="center" vertical="center"/>
    </xf>
    <xf numFmtId="0" fontId="14" fillId="2" borderId="3" xfId="1" applyFont="1" applyFill="1" applyBorder="1" applyAlignment="1" applyProtection="1">
      <alignment horizontal="center" vertical="center"/>
    </xf>
    <xf numFmtId="0" fontId="14" fillId="2" borderId="7" xfId="1" applyFont="1" applyFill="1" applyBorder="1" applyAlignment="1" applyProtection="1">
      <alignment horizontal="center" vertical="center"/>
    </xf>
    <xf numFmtId="0" fontId="14" fillId="2" borderId="8" xfId="1" applyFont="1" applyFill="1" applyBorder="1" applyAlignment="1" applyProtection="1">
      <alignment horizontal="center" vertical="center"/>
    </xf>
    <xf numFmtId="0" fontId="14" fillId="6" borderId="51" xfId="1" applyFont="1" applyFill="1" applyBorder="1" applyAlignment="1" applyProtection="1">
      <alignment horizontal="left" vertical="center" wrapText="1"/>
    </xf>
    <xf numFmtId="0" fontId="14" fillId="6" borderId="52" xfId="1" applyFont="1" applyFill="1" applyBorder="1" applyAlignment="1" applyProtection="1">
      <alignment horizontal="left" vertical="center" wrapText="1"/>
    </xf>
    <xf numFmtId="0" fontId="14" fillId="6" borderId="146" xfId="1" applyFont="1" applyFill="1" applyBorder="1" applyAlignment="1" applyProtection="1">
      <alignment horizontal="left" vertical="center" wrapText="1"/>
    </xf>
    <xf numFmtId="0" fontId="14" fillId="6" borderId="75" xfId="1" applyFont="1" applyFill="1" applyBorder="1" applyAlignment="1" applyProtection="1">
      <alignment horizontal="left" vertical="center" wrapText="1"/>
    </xf>
    <xf numFmtId="0" fontId="14" fillId="6" borderId="0" xfId="1" applyFont="1" applyFill="1" applyBorder="1" applyAlignment="1" applyProtection="1">
      <alignment horizontal="left" vertical="center" wrapText="1"/>
    </xf>
    <xf numFmtId="0" fontId="14" fillId="6" borderId="24" xfId="1" applyFont="1" applyFill="1" applyBorder="1" applyAlignment="1" applyProtection="1">
      <alignment horizontal="left" vertical="center" wrapText="1"/>
    </xf>
    <xf numFmtId="0" fontId="14" fillId="6" borderId="60" xfId="1" applyFont="1" applyFill="1" applyBorder="1" applyAlignment="1" applyProtection="1">
      <alignment horizontal="left" vertical="center" wrapText="1"/>
    </xf>
    <xf numFmtId="0" fontId="14" fillId="6" borderId="61" xfId="1" applyFont="1" applyFill="1" applyBorder="1" applyAlignment="1" applyProtection="1">
      <alignment horizontal="left" vertical="center" wrapText="1"/>
    </xf>
    <xf numFmtId="0" fontId="14" fillId="6" borderId="179" xfId="1" applyFont="1" applyFill="1" applyBorder="1" applyAlignment="1" applyProtection="1">
      <alignment horizontal="left" vertical="center" wrapText="1"/>
    </xf>
    <xf numFmtId="0" fontId="18" fillId="6" borderId="222" xfId="1" applyFont="1" applyFill="1" applyBorder="1" applyAlignment="1" applyProtection="1">
      <alignment horizontal="center" vertical="center"/>
    </xf>
    <xf numFmtId="0" fontId="18" fillId="6" borderId="223" xfId="1" applyFont="1" applyFill="1" applyBorder="1" applyAlignment="1" applyProtection="1">
      <alignment horizontal="center" vertical="center"/>
    </xf>
    <xf numFmtId="0" fontId="18" fillId="6" borderId="224" xfId="1" applyFont="1" applyFill="1" applyBorder="1" applyAlignment="1" applyProtection="1">
      <alignment horizontal="center" vertical="center"/>
    </xf>
    <xf numFmtId="0" fontId="18" fillId="6" borderId="193" xfId="1" applyFont="1" applyFill="1" applyBorder="1" applyAlignment="1" applyProtection="1">
      <alignment horizontal="center" vertical="center"/>
    </xf>
    <xf numFmtId="0" fontId="18" fillId="6" borderId="174" xfId="1" applyFont="1" applyFill="1" applyBorder="1" applyAlignment="1" applyProtection="1">
      <alignment horizontal="center" vertical="center"/>
    </xf>
    <xf numFmtId="0" fontId="18" fillId="6" borderId="194" xfId="1" applyFont="1" applyFill="1" applyBorder="1" applyAlignment="1" applyProtection="1">
      <alignment horizontal="center" vertical="center"/>
    </xf>
    <xf numFmtId="0" fontId="18" fillId="3" borderId="31" xfId="1" applyFont="1" applyFill="1" applyBorder="1" applyAlignment="1" applyProtection="1">
      <alignment horizontal="right" vertical="center"/>
    </xf>
    <xf numFmtId="165" fontId="18" fillId="3" borderId="29" xfId="1" applyNumberFormat="1" applyFont="1" applyFill="1" applyBorder="1" applyAlignment="1" applyProtection="1">
      <alignment horizontal="center" vertical="center"/>
    </xf>
    <xf numFmtId="165" fontId="18" fillId="3" borderId="139" xfId="1" applyNumberFormat="1" applyFont="1" applyFill="1" applyBorder="1" applyAlignment="1" applyProtection="1">
      <alignment horizontal="center" vertical="center"/>
    </xf>
    <xf numFmtId="0" fontId="18" fillId="5" borderId="80" xfId="1" applyFont="1" applyFill="1" applyBorder="1" applyAlignment="1" applyProtection="1">
      <alignment horizontal="center" vertical="center"/>
    </xf>
    <xf numFmtId="0" fontId="18" fillId="5" borderId="2" xfId="1" applyFont="1" applyFill="1" applyBorder="1" applyAlignment="1" applyProtection="1">
      <alignment horizontal="center" vertical="center"/>
    </xf>
    <xf numFmtId="0" fontId="18" fillId="5" borderId="48" xfId="1" applyFont="1" applyFill="1" applyBorder="1" applyAlignment="1" applyProtection="1">
      <alignment horizontal="center" vertical="center"/>
    </xf>
    <xf numFmtId="0" fontId="18" fillId="5" borderId="75" xfId="1" applyFont="1" applyFill="1" applyBorder="1" applyAlignment="1" applyProtection="1">
      <alignment horizontal="center" vertical="center"/>
    </xf>
    <xf numFmtId="0" fontId="18" fillId="5" borderId="0" xfId="1" applyFont="1" applyFill="1" applyBorder="1" applyAlignment="1" applyProtection="1">
      <alignment horizontal="center" vertical="center"/>
    </xf>
    <xf numFmtId="0" fontId="18" fillId="5" borderId="24" xfId="1" applyFont="1" applyFill="1" applyBorder="1" applyAlignment="1" applyProtection="1">
      <alignment horizontal="center" vertical="center"/>
    </xf>
    <xf numFmtId="0" fontId="18" fillId="5" borderId="95" xfId="1" applyFont="1" applyFill="1" applyBorder="1" applyAlignment="1" applyProtection="1">
      <alignment horizontal="center" vertical="center"/>
    </xf>
    <xf numFmtId="0" fontId="18" fillId="5" borderId="81" xfId="1" applyFont="1" applyFill="1" applyBorder="1" applyAlignment="1" applyProtection="1">
      <alignment horizontal="center" vertical="center"/>
    </xf>
    <xf numFmtId="166" fontId="18" fillId="4" borderId="61" xfId="1" applyNumberFormat="1" applyFont="1" applyFill="1" applyBorder="1" applyAlignment="1" applyProtection="1">
      <alignment horizontal="right" vertical="center"/>
    </xf>
    <xf numFmtId="165" fontId="18" fillId="3" borderId="101" xfId="1" applyNumberFormat="1" applyFont="1" applyFill="1" applyBorder="1" applyAlignment="1" applyProtection="1">
      <alignment horizontal="center" vertical="center"/>
    </xf>
    <xf numFmtId="165" fontId="74" fillId="5" borderId="101" xfId="1" applyNumberFormat="1" applyFont="1" applyFill="1" applyBorder="1" applyAlignment="1" applyProtection="1">
      <alignment horizontal="center" vertical="center"/>
    </xf>
    <xf numFmtId="165" fontId="74" fillId="5" borderId="103" xfId="1" applyNumberFormat="1" applyFont="1" applyFill="1" applyBorder="1" applyAlignment="1" applyProtection="1">
      <alignment horizontal="center" vertical="center"/>
    </xf>
    <xf numFmtId="0" fontId="22" fillId="5" borderId="130" xfId="1" applyFont="1" applyFill="1" applyBorder="1" applyAlignment="1" applyProtection="1">
      <alignment horizontal="center" vertical="center"/>
    </xf>
    <xf numFmtId="0" fontId="22" fillId="5" borderId="43" xfId="1" applyFont="1" applyFill="1" applyBorder="1" applyAlignment="1" applyProtection="1">
      <alignment horizontal="center" vertical="center"/>
    </xf>
    <xf numFmtId="0" fontId="22" fillId="5" borderId="42" xfId="1" applyFont="1" applyFill="1" applyBorder="1" applyAlignment="1" applyProtection="1">
      <alignment horizontal="center" vertical="center"/>
    </xf>
    <xf numFmtId="0" fontId="22" fillId="5" borderId="45" xfId="1" applyFont="1" applyFill="1" applyBorder="1" applyAlignment="1" applyProtection="1">
      <alignment horizontal="center" vertical="center"/>
    </xf>
    <xf numFmtId="0" fontId="22" fillId="5" borderId="50" xfId="1" applyFont="1" applyFill="1" applyBorder="1" applyAlignment="1" applyProtection="1">
      <alignment horizontal="center" vertical="center"/>
    </xf>
    <xf numFmtId="0" fontId="22" fillId="5" borderId="113" xfId="1" applyFont="1" applyFill="1" applyBorder="1" applyAlignment="1" applyProtection="1">
      <alignment horizontal="center" vertical="center"/>
    </xf>
    <xf numFmtId="165" fontId="18" fillId="3" borderId="7" xfId="1" applyNumberFormat="1" applyFont="1" applyFill="1" applyBorder="1" applyAlignment="1" applyProtection="1">
      <alignment horizontal="center" vertical="center"/>
    </xf>
    <xf numFmtId="165" fontId="18" fillId="3" borderId="57" xfId="1" applyNumberFormat="1" applyFont="1" applyFill="1" applyBorder="1" applyAlignment="1" applyProtection="1">
      <alignment horizontal="center" vertical="center"/>
    </xf>
    <xf numFmtId="0" fontId="22" fillId="5" borderId="7" xfId="1" applyFont="1" applyFill="1" applyBorder="1" applyAlignment="1" applyProtection="1">
      <alignment horizontal="center" vertical="center"/>
    </xf>
    <xf numFmtId="0" fontId="18" fillId="5" borderId="108" xfId="1" applyFont="1" applyFill="1" applyBorder="1" applyAlignment="1" applyProtection="1">
      <alignment horizontal="left" vertical="center"/>
    </xf>
    <xf numFmtId="0" fontId="18" fillId="5" borderId="21" xfId="1" applyFont="1" applyFill="1" applyBorder="1" applyAlignment="1" applyProtection="1">
      <alignment horizontal="left" vertical="center"/>
    </xf>
    <xf numFmtId="0" fontId="18" fillId="5" borderId="86" xfId="1" applyFont="1" applyFill="1" applyBorder="1" applyAlignment="1" applyProtection="1">
      <alignment horizontal="left" vertical="center"/>
    </xf>
    <xf numFmtId="0" fontId="18" fillId="3" borderId="33" xfId="1" applyFont="1" applyFill="1" applyBorder="1" applyAlignment="1" applyProtection="1">
      <alignment horizontal="right" indent="1"/>
    </xf>
    <xf numFmtId="0" fontId="18" fillId="3" borderId="35" xfId="1" applyFont="1" applyFill="1" applyBorder="1" applyAlignment="1" applyProtection="1">
      <alignment horizontal="right" indent="1"/>
    </xf>
    <xf numFmtId="1" fontId="18" fillId="4" borderId="43" xfId="1" applyNumberFormat="1" applyFont="1" applyFill="1" applyBorder="1" applyAlignment="1" applyProtection="1">
      <alignment horizontal="right" vertical="center" indent="1"/>
    </xf>
    <xf numFmtId="1" fontId="18" fillId="4" borderId="50" xfId="1" applyNumberFormat="1" applyFont="1" applyFill="1" applyBorder="1" applyAlignment="1" applyProtection="1">
      <alignment horizontal="right" vertical="center" indent="1"/>
    </xf>
    <xf numFmtId="167" fontId="18" fillId="7" borderId="43" xfId="1" applyNumberFormat="1" applyFont="1" applyFill="1" applyBorder="1" applyAlignment="1" applyProtection="1">
      <alignment vertical="center"/>
    </xf>
    <xf numFmtId="167" fontId="18" fillId="7" borderId="45" xfId="1" applyNumberFormat="1" applyFont="1" applyFill="1" applyBorder="1" applyAlignment="1" applyProtection="1">
      <alignment vertical="center"/>
    </xf>
    <xf numFmtId="0" fontId="22" fillId="5" borderId="82" xfId="1" applyFont="1" applyFill="1" applyBorder="1" applyAlignment="1" applyProtection="1">
      <alignment horizontal="center" vertical="center"/>
    </xf>
    <xf numFmtId="0" fontId="22" fillId="5" borderId="8" xfId="1" applyFont="1" applyFill="1" applyBorder="1" applyAlignment="1" applyProtection="1">
      <alignment horizontal="center" vertical="center"/>
    </xf>
    <xf numFmtId="3" fontId="27" fillId="4" borderId="33" xfId="0" applyNumberFormat="1" applyFont="1" applyFill="1" applyBorder="1" applyAlignment="1" applyProtection="1">
      <alignment horizontal="right" vertical="center"/>
    </xf>
    <xf numFmtId="0" fontId="18" fillId="3" borderId="158" xfId="1" applyFont="1" applyFill="1" applyBorder="1" applyAlignment="1" applyProtection="1">
      <alignment horizontal="left" vertical="center"/>
    </xf>
    <xf numFmtId="0" fontId="18" fillId="3" borderId="38" xfId="1" applyFont="1" applyFill="1" applyBorder="1" applyAlignment="1" applyProtection="1">
      <alignment horizontal="left" vertical="center"/>
    </xf>
    <xf numFmtId="0" fontId="18" fillId="3" borderId="111" xfId="1" applyFont="1" applyFill="1" applyBorder="1" applyAlignment="1" applyProtection="1">
      <alignment horizontal="left" vertical="center"/>
    </xf>
    <xf numFmtId="0" fontId="18" fillId="3" borderId="38" xfId="1" applyFont="1" applyFill="1" applyBorder="1" applyAlignment="1" applyProtection="1">
      <alignment horizontal="right" vertical="center" indent="1"/>
    </xf>
    <xf numFmtId="0" fontId="18" fillId="3" borderId="41" xfId="1" applyFont="1" applyFill="1" applyBorder="1" applyAlignment="1" applyProtection="1">
      <alignment horizontal="right" vertical="center" indent="1"/>
    </xf>
    <xf numFmtId="0" fontId="18" fillId="3" borderId="38" xfId="1" applyFont="1" applyFill="1" applyBorder="1" applyAlignment="1" applyProtection="1">
      <alignment horizontal="center" vertical="center"/>
    </xf>
    <xf numFmtId="0" fontId="18" fillId="3" borderId="159" xfId="1" applyFont="1" applyFill="1" applyBorder="1" applyAlignment="1" applyProtection="1">
      <alignment horizontal="center" vertical="center"/>
    </xf>
    <xf numFmtId="167" fontId="18" fillId="3" borderId="38" xfId="1" applyNumberFormat="1" applyFont="1" applyFill="1" applyBorder="1" applyAlignment="1" applyProtection="1">
      <alignment vertical="center"/>
    </xf>
    <xf numFmtId="167" fontId="18" fillId="3" borderId="41" xfId="1" applyNumberFormat="1" applyFont="1" applyFill="1" applyBorder="1" applyAlignment="1" applyProtection="1">
      <alignment vertical="center"/>
    </xf>
    <xf numFmtId="167" fontId="18" fillId="3" borderId="148" xfId="1" applyNumberFormat="1" applyFont="1" applyFill="1" applyBorder="1" applyAlignment="1" applyProtection="1">
      <alignment horizontal="right" vertical="center"/>
    </xf>
    <xf numFmtId="167" fontId="18" fillId="3" borderId="38" xfId="1" applyNumberFormat="1" applyFont="1" applyFill="1" applyBorder="1" applyAlignment="1" applyProtection="1">
      <alignment horizontal="right" vertical="center"/>
    </xf>
    <xf numFmtId="167" fontId="18" fillId="3" borderId="37" xfId="1" applyNumberFormat="1" applyFont="1" applyFill="1" applyBorder="1" applyAlignment="1" applyProtection="1">
      <alignment horizontal="center" vertical="center"/>
    </xf>
    <xf numFmtId="167" fontId="18" fillId="3" borderId="38" xfId="1" applyNumberFormat="1" applyFont="1" applyFill="1" applyBorder="1" applyAlignment="1" applyProtection="1">
      <alignment horizontal="center" vertical="center"/>
    </xf>
    <xf numFmtId="0" fontId="18" fillId="3" borderId="37" xfId="1" applyFont="1" applyFill="1" applyBorder="1" applyAlignment="1" applyProtection="1">
      <alignment horizontal="center" vertical="center"/>
    </xf>
    <xf numFmtId="0" fontId="18" fillId="3" borderId="41" xfId="1" applyFont="1" applyFill="1" applyBorder="1" applyAlignment="1" applyProtection="1">
      <alignment horizontal="center" vertical="center"/>
    </xf>
    <xf numFmtId="3" fontId="27" fillId="4" borderId="23" xfId="0" applyNumberFormat="1" applyFont="1" applyFill="1" applyBorder="1" applyAlignment="1" applyProtection="1">
      <alignment horizontal="right" vertical="center"/>
    </xf>
    <xf numFmtId="0" fontId="18" fillId="5" borderId="68" xfId="1" applyFont="1" applyFill="1" applyBorder="1" applyAlignment="1" applyProtection="1">
      <alignment horizontal="left" vertical="center"/>
    </xf>
    <xf numFmtId="0" fontId="18" fillId="5" borderId="33" xfId="1" applyFont="1" applyFill="1" applyBorder="1" applyAlignment="1" applyProtection="1">
      <alignment horizontal="left" vertical="center"/>
    </xf>
    <xf numFmtId="0" fontId="18" fillId="5" borderId="110" xfId="1" applyFont="1" applyFill="1" applyBorder="1" applyAlignment="1" applyProtection="1">
      <alignment horizontal="left" vertical="center"/>
    </xf>
    <xf numFmtId="0" fontId="18" fillId="3" borderId="33" xfId="1" applyFont="1" applyFill="1" applyBorder="1" applyAlignment="1" applyProtection="1">
      <alignment horizontal="right" vertical="center" indent="1"/>
    </xf>
    <xf numFmtId="0" fontId="18" fillId="3" borderId="35" xfId="1" applyFont="1" applyFill="1" applyBorder="1" applyAlignment="1" applyProtection="1">
      <alignment horizontal="right" vertical="center" indent="1"/>
    </xf>
    <xf numFmtId="1" fontId="18" fillId="4" borderId="33" xfId="1" applyNumberFormat="1" applyFont="1" applyFill="1" applyBorder="1" applyAlignment="1" applyProtection="1">
      <alignment horizontal="right" vertical="center" indent="1"/>
    </xf>
    <xf numFmtId="1" fontId="18" fillId="4" borderId="34" xfId="1" applyNumberFormat="1" applyFont="1" applyFill="1" applyBorder="1" applyAlignment="1" applyProtection="1">
      <alignment horizontal="right" vertical="center" indent="1"/>
    </xf>
    <xf numFmtId="167" fontId="18" fillId="7" borderId="33" xfId="1" applyNumberFormat="1" applyFont="1" applyFill="1" applyBorder="1" applyAlignment="1" applyProtection="1">
      <alignment vertical="center"/>
    </xf>
    <xf numFmtId="167" fontId="18" fillId="7" borderId="35" xfId="1" applyNumberFormat="1" applyFont="1" applyFill="1" applyBorder="1" applyAlignment="1" applyProtection="1">
      <alignment vertical="center"/>
    </xf>
    <xf numFmtId="167" fontId="18" fillId="7" borderId="109" xfId="1" applyNumberFormat="1" applyFont="1" applyFill="1" applyBorder="1" applyAlignment="1" applyProtection="1">
      <alignment horizontal="right" vertical="center"/>
    </xf>
    <xf numFmtId="167" fontId="18" fillId="7" borderId="33" xfId="1" applyNumberFormat="1" applyFont="1" applyFill="1" applyBorder="1" applyAlignment="1" applyProtection="1">
      <alignment horizontal="right" vertical="center"/>
    </xf>
    <xf numFmtId="167" fontId="18" fillId="7" borderId="32" xfId="1" applyNumberFormat="1" applyFont="1" applyFill="1" applyBorder="1" applyAlignment="1" applyProtection="1">
      <alignment horizontal="center" vertical="center"/>
    </xf>
    <xf numFmtId="167" fontId="18" fillId="7" borderId="33" xfId="1" applyNumberFormat="1" applyFont="1" applyFill="1" applyBorder="1" applyAlignment="1" applyProtection="1">
      <alignment horizontal="center" vertical="center"/>
    </xf>
    <xf numFmtId="0" fontId="11" fillId="6" borderId="71" xfId="3" applyFont="1" applyFill="1" applyBorder="1" applyAlignment="1" applyProtection="1">
      <alignment horizontal="left" vertical="center"/>
    </xf>
    <xf numFmtId="0" fontId="11" fillId="6" borderId="72" xfId="3" applyFont="1" applyFill="1" applyBorder="1" applyAlignment="1" applyProtection="1">
      <alignment horizontal="left" vertical="center"/>
    </xf>
    <xf numFmtId="0" fontId="18" fillId="0" borderId="80" xfId="1" applyFont="1" applyFill="1" applyBorder="1" applyAlignment="1" applyProtection="1">
      <alignment horizontal="center" vertical="center" wrapText="1"/>
    </xf>
    <xf numFmtId="0" fontId="18" fillId="0" borderId="2" xfId="1" applyFont="1" applyFill="1" applyBorder="1" applyAlignment="1" applyProtection="1">
      <alignment horizontal="center" vertical="center" wrapText="1"/>
    </xf>
    <xf numFmtId="0" fontId="18" fillId="0" borderId="3" xfId="1" applyFont="1" applyFill="1" applyBorder="1" applyAlignment="1" applyProtection="1">
      <alignment horizontal="center" vertical="center" wrapText="1"/>
    </xf>
    <xf numFmtId="0" fontId="18" fillId="0" borderId="56" xfId="1" applyFont="1" applyFill="1" applyBorder="1" applyAlignment="1" applyProtection="1">
      <alignment horizontal="center" vertical="center" wrapText="1"/>
    </xf>
    <xf numFmtId="0" fontId="18" fillId="0" borderId="7" xfId="1" applyFont="1" applyFill="1" applyBorder="1" applyAlignment="1" applyProtection="1">
      <alignment horizontal="center" vertical="center" wrapText="1"/>
    </xf>
    <xf numFmtId="0" fontId="18" fillId="0" borderId="8" xfId="1" applyFont="1" applyFill="1" applyBorder="1" applyAlignment="1" applyProtection="1">
      <alignment horizontal="center" vertical="center" wrapText="1"/>
    </xf>
    <xf numFmtId="0" fontId="21" fillId="0" borderId="2" xfId="1" applyFont="1" applyBorder="1" applyAlignment="1" applyProtection="1">
      <alignment horizontal="right" textRotation="90" wrapText="1"/>
    </xf>
    <xf numFmtId="0" fontId="21" fillId="0" borderId="3" xfId="1" applyFont="1" applyBorder="1" applyAlignment="1" applyProtection="1">
      <alignment horizontal="right" textRotation="90" wrapText="1"/>
    </xf>
    <xf numFmtId="0" fontId="21" fillId="0" borderId="0" xfId="1" applyFont="1" applyBorder="1" applyAlignment="1" applyProtection="1">
      <alignment horizontal="right" textRotation="90" wrapText="1"/>
    </xf>
    <xf numFmtId="0" fontId="21" fillId="0" borderId="5" xfId="1" applyFont="1" applyBorder="1" applyAlignment="1" applyProtection="1">
      <alignment horizontal="right" textRotation="90" wrapText="1"/>
    </xf>
    <xf numFmtId="0" fontId="21" fillId="0" borderId="7" xfId="1" applyFont="1" applyBorder="1" applyAlignment="1" applyProtection="1">
      <alignment horizontal="right" textRotation="90" wrapText="1"/>
    </xf>
    <xf numFmtId="0" fontId="21" fillId="0" borderId="8" xfId="1" applyFont="1" applyBorder="1" applyAlignment="1" applyProtection="1">
      <alignment horizontal="right" textRotation="90" wrapText="1"/>
    </xf>
    <xf numFmtId="0" fontId="36" fillId="7" borderId="9" xfId="0" applyFont="1" applyFill="1" applyBorder="1" applyAlignment="1" applyProtection="1">
      <alignment horizontal="center" vertical="center"/>
    </xf>
    <xf numFmtId="0" fontId="36" fillId="7" borderId="10" xfId="0" applyFont="1" applyFill="1" applyBorder="1" applyAlignment="1" applyProtection="1">
      <alignment horizontal="center" vertical="center"/>
    </xf>
    <xf numFmtId="0" fontId="35" fillId="7" borderId="9" xfId="0" applyFont="1" applyFill="1" applyBorder="1" applyAlignment="1" applyProtection="1">
      <alignment horizontal="center" vertical="center"/>
    </xf>
    <xf numFmtId="0" fontId="35" fillId="7" borderId="59" xfId="0" applyFont="1" applyFill="1" applyBorder="1" applyAlignment="1" applyProtection="1">
      <alignment horizontal="center" vertical="center"/>
    </xf>
    <xf numFmtId="0" fontId="15" fillId="11" borderId="72" xfId="1" applyFont="1" applyFill="1" applyBorder="1" applyAlignment="1" applyProtection="1">
      <alignment horizontal="left" vertical="center"/>
    </xf>
    <xf numFmtId="0" fontId="15" fillId="11" borderId="74" xfId="1" applyFont="1" applyFill="1" applyBorder="1" applyAlignment="1" applyProtection="1">
      <alignment horizontal="left" vertical="center"/>
    </xf>
    <xf numFmtId="0" fontId="18" fillId="7" borderId="77" xfId="1" applyFont="1" applyFill="1" applyBorder="1" applyAlignment="1" applyProtection="1">
      <alignment horizontal="right" vertical="center"/>
    </xf>
    <xf numFmtId="0" fontId="18" fillId="7" borderId="97" xfId="1" applyFont="1" applyFill="1" applyBorder="1" applyAlignment="1" applyProtection="1">
      <alignment horizontal="right" vertical="center"/>
    </xf>
    <xf numFmtId="0" fontId="18" fillId="3" borderId="97" xfId="1" applyFont="1" applyFill="1" applyBorder="1" applyAlignment="1" applyProtection="1">
      <alignment horizontal="right" vertical="center"/>
    </xf>
    <xf numFmtId="3" fontId="28" fillId="4" borderId="29" xfId="0" applyNumberFormat="1" applyFont="1" applyFill="1" applyBorder="1" applyAlignment="1" applyProtection="1">
      <alignment horizontal="right" vertical="center"/>
    </xf>
    <xf numFmtId="16" fontId="30" fillId="11" borderId="71" xfId="1" quotePrefix="1" applyNumberFormat="1" applyFont="1" applyFill="1" applyBorder="1" applyAlignment="1" applyProtection="1">
      <alignment horizontal="left" vertical="center"/>
    </xf>
    <xf numFmtId="0" fontId="30" fillId="11" borderId="72" xfId="1" applyFont="1" applyFill="1" applyBorder="1" applyAlignment="1" applyProtection="1">
      <alignment horizontal="left" vertical="center"/>
    </xf>
    <xf numFmtId="184" fontId="32" fillId="0" borderId="4" xfId="1" applyNumberFormat="1" applyFont="1" applyBorder="1" applyAlignment="1" applyProtection="1">
      <alignment horizontal="center" vertical="top"/>
    </xf>
    <xf numFmtId="184" fontId="32" fillId="0" borderId="0" xfId="1" applyNumberFormat="1" applyFont="1" applyBorder="1" applyAlignment="1" applyProtection="1">
      <alignment horizontal="center" vertical="top"/>
    </xf>
    <xf numFmtId="177" fontId="32" fillId="0" borderId="0" xfId="1" applyNumberFormat="1" applyFont="1" applyFill="1" applyBorder="1" applyAlignment="1" applyProtection="1">
      <alignment horizontal="left" vertical="top" wrapText="1"/>
    </xf>
    <xf numFmtId="165" fontId="32" fillId="0" borderId="0" xfId="1" applyNumberFormat="1" applyFont="1" applyFill="1" applyBorder="1" applyAlignment="1" applyProtection="1">
      <alignment horizontal="left" vertical="top" wrapText="1"/>
    </xf>
    <xf numFmtId="165" fontId="32" fillId="0" borderId="5" xfId="1" applyNumberFormat="1" applyFont="1" applyFill="1" applyBorder="1" applyAlignment="1" applyProtection="1">
      <alignment horizontal="left" vertical="top" wrapText="1"/>
    </xf>
    <xf numFmtId="0" fontId="28" fillId="6" borderId="51" xfId="3" applyFont="1" applyFill="1" applyBorder="1" applyAlignment="1" applyProtection="1">
      <alignment horizontal="center" vertical="center"/>
    </xf>
    <xf numFmtId="0" fontId="28" fillId="6" borderId="52" xfId="3" applyFont="1" applyFill="1" applyBorder="1" applyAlignment="1" applyProtection="1">
      <alignment horizontal="center" vertical="center"/>
    </xf>
    <xf numFmtId="0" fontId="28" fillId="6" borderId="146" xfId="3" applyFont="1" applyFill="1" applyBorder="1" applyAlignment="1" applyProtection="1">
      <alignment horizontal="center" vertical="center"/>
    </xf>
    <xf numFmtId="0" fontId="28" fillId="6" borderId="60" xfId="3" applyFont="1" applyFill="1" applyBorder="1" applyAlignment="1" applyProtection="1">
      <alignment horizontal="center" vertical="center"/>
    </xf>
    <xf numFmtId="0" fontId="28" fillId="6" borderId="61" xfId="3" applyFont="1" applyFill="1" applyBorder="1" applyAlignment="1" applyProtection="1">
      <alignment horizontal="center" vertical="center"/>
    </xf>
    <xf numFmtId="0" fontId="28" fillId="6" borderId="179" xfId="3" applyFont="1" applyFill="1" applyBorder="1" applyAlignment="1" applyProtection="1">
      <alignment horizontal="center" vertical="center"/>
    </xf>
    <xf numFmtId="0" fontId="18" fillId="7" borderId="97" xfId="1" applyFont="1" applyFill="1" applyBorder="1" applyAlignment="1" applyProtection="1">
      <alignment horizontal="left" vertical="center"/>
    </xf>
    <xf numFmtId="0" fontId="18" fillId="7" borderId="98" xfId="1" applyFont="1" applyFill="1" applyBorder="1" applyAlignment="1" applyProtection="1">
      <alignment horizontal="left" vertical="center"/>
    </xf>
    <xf numFmtId="0" fontId="18" fillId="3" borderId="97" xfId="1" applyFont="1" applyFill="1" applyBorder="1" applyAlignment="1" applyProtection="1">
      <alignment horizontal="left" vertical="center"/>
    </xf>
    <xf numFmtId="178" fontId="32" fillId="0" borderId="0" xfId="1" applyNumberFormat="1" applyFont="1" applyFill="1" applyBorder="1" applyAlignment="1" applyProtection="1">
      <alignment horizontal="center" vertical="top" wrapText="1"/>
    </xf>
    <xf numFmtId="0" fontId="18" fillId="5" borderId="6" xfId="1" applyFont="1" applyFill="1" applyBorder="1" applyAlignment="1" applyProtection="1">
      <alignment horizontal="center" vertical="center"/>
    </xf>
    <xf numFmtId="0" fontId="18" fillId="5" borderId="7" xfId="1" applyFont="1" applyFill="1" applyBorder="1" applyAlignment="1" applyProtection="1">
      <alignment horizontal="center" vertical="center"/>
    </xf>
    <xf numFmtId="0" fontId="18" fillId="5" borderId="57" xfId="1" applyFont="1" applyFill="1" applyBorder="1" applyAlignment="1" applyProtection="1">
      <alignment horizontal="center" vertical="center"/>
    </xf>
    <xf numFmtId="167" fontId="18" fillId="4" borderId="21" xfId="1" applyNumberFormat="1" applyFont="1" applyFill="1" applyBorder="1" applyAlignment="1" applyProtection="1">
      <alignment horizontal="right" vertical="center"/>
    </xf>
    <xf numFmtId="3" fontId="5" fillId="4" borderId="33" xfId="0" applyNumberFormat="1" applyFont="1" applyFill="1" applyBorder="1" applyAlignment="1" applyProtection="1">
      <alignment horizontal="right" vertical="center"/>
    </xf>
    <xf numFmtId="3" fontId="5" fillId="4" borderId="34" xfId="0" applyNumberFormat="1" applyFont="1" applyFill="1" applyBorder="1" applyAlignment="1" applyProtection="1">
      <alignment horizontal="right" vertical="center"/>
    </xf>
    <xf numFmtId="3" fontId="28" fillId="4" borderId="33" xfId="0" applyNumberFormat="1" applyFont="1" applyFill="1" applyBorder="1" applyAlignment="1" applyProtection="1">
      <alignment horizontal="right" vertical="center"/>
    </xf>
    <xf numFmtId="3" fontId="28" fillId="4" borderId="69" xfId="0" applyNumberFormat="1" applyFont="1" applyFill="1" applyBorder="1" applyAlignment="1" applyProtection="1">
      <alignment horizontal="right" vertical="center"/>
    </xf>
    <xf numFmtId="0" fontId="18" fillId="0" borderId="75" xfId="1" applyFont="1" applyBorder="1" applyAlignment="1" applyProtection="1">
      <alignment horizontal="center" vertical="center" wrapText="1"/>
    </xf>
    <xf numFmtId="0" fontId="18" fillId="0" borderId="0" xfId="1" applyFont="1" applyBorder="1" applyAlignment="1" applyProtection="1">
      <alignment horizontal="center" vertical="center" wrapText="1"/>
    </xf>
    <xf numFmtId="179" fontId="32" fillId="0" borderId="0" xfId="1" applyNumberFormat="1" applyFont="1" applyFill="1" applyBorder="1" applyAlignment="1" applyProtection="1">
      <alignment horizontal="center" vertical="top" wrapText="1"/>
    </xf>
    <xf numFmtId="182" fontId="32" fillId="0" borderId="0" xfId="1" applyNumberFormat="1" applyFont="1" applyFill="1" applyBorder="1" applyAlignment="1" applyProtection="1">
      <alignment horizontal="left" vertical="top" wrapText="1"/>
    </xf>
    <xf numFmtId="180" fontId="32" fillId="0" borderId="0" xfId="1" applyNumberFormat="1" applyFont="1" applyFill="1" applyBorder="1" applyAlignment="1" applyProtection="1">
      <alignment horizontal="center" vertical="top" wrapText="1"/>
    </xf>
    <xf numFmtId="180" fontId="32" fillId="0" borderId="5" xfId="1" applyNumberFormat="1" applyFont="1" applyFill="1" applyBorder="1" applyAlignment="1" applyProtection="1">
      <alignment horizontal="center" vertical="top" wrapText="1"/>
    </xf>
    <xf numFmtId="0" fontId="13" fillId="6" borderId="51" xfId="1" applyFill="1" applyBorder="1" applyAlignment="1" applyProtection="1">
      <alignment horizontal="center" vertical="center"/>
    </xf>
    <xf numFmtId="0" fontId="13" fillId="6" borderId="52" xfId="1" applyFill="1" applyBorder="1" applyAlignment="1" applyProtection="1">
      <alignment horizontal="center" vertical="center"/>
    </xf>
    <xf numFmtId="0" fontId="13" fillId="6" borderId="53" xfId="1" applyFill="1" applyBorder="1" applyAlignment="1" applyProtection="1">
      <alignment horizontal="center" vertical="center"/>
    </xf>
    <xf numFmtId="0" fontId="18" fillId="6" borderId="51" xfId="1" applyFont="1" applyFill="1" applyBorder="1" applyAlignment="1" applyProtection="1">
      <alignment horizontal="center" vertical="center" wrapText="1"/>
    </xf>
    <xf numFmtId="0" fontId="18" fillId="6" borderId="52" xfId="1" applyFont="1" applyFill="1" applyBorder="1" applyAlignment="1" applyProtection="1">
      <alignment horizontal="center" vertical="center" wrapText="1"/>
    </xf>
    <xf numFmtId="0" fontId="18" fillId="6" borderId="53" xfId="1" applyFont="1" applyFill="1" applyBorder="1" applyAlignment="1" applyProtection="1">
      <alignment horizontal="center" vertical="center" wrapText="1"/>
    </xf>
    <xf numFmtId="0" fontId="18" fillId="6" borderId="56" xfId="1" applyFont="1" applyFill="1" applyBorder="1" applyAlignment="1" applyProtection="1">
      <alignment horizontal="center" vertical="center" wrapText="1"/>
    </xf>
    <xf numFmtId="0" fontId="18" fillId="6" borderId="7" xfId="1" applyFont="1" applyFill="1" applyBorder="1" applyAlignment="1" applyProtection="1">
      <alignment horizontal="center" vertical="center" wrapText="1"/>
    </xf>
    <xf numFmtId="0" fontId="18" fillId="6" borderId="57" xfId="1" applyFont="1" applyFill="1" applyBorder="1" applyAlignment="1" applyProtection="1">
      <alignment horizontal="center" vertical="center" wrapText="1"/>
    </xf>
    <xf numFmtId="167" fontId="18" fillId="3" borderId="7" xfId="1" applyNumberFormat="1" applyFont="1" applyFill="1" applyBorder="1" applyAlignment="1" applyProtection="1">
      <alignment horizontal="right" vertical="center"/>
    </xf>
    <xf numFmtId="3" fontId="5" fillId="4" borderId="7" xfId="0" applyNumberFormat="1" applyFont="1" applyFill="1" applyBorder="1" applyAlignment="1" applyProtection="1">
      <alignment horizontal="right" vertical="center"/>
    </xf>
    <xf numFmtId="3" fontId="5" fillId="4" borderId="8" xfId="0" applyNumberFormat="1" applyFont="1" applyFill="1" applyBorder="1" applyAlignment="1" applyProtection="1">
      <alignment horizontal="right" vertical="center"/>
    </xf>
    <xf numFmtId="3" fontId="28" fillId="4" borderId="7" xfId="0" applyNumberFormat="1" applyFont="1" applyFill="1" applyBorder="1" applyAlignment="1" applyProtection="1">
      <alignment horizontal="right" vertical="center"/>
    </xf>
    <xf numFmtId="3" fontId="28" fillId="4" borderId="57" xfId="0" applyNumberFormat="1" applyFont="1" applyFill="1" applyBorder="1" applyAlignment="1" applyProtection="1">
      <alignment horizontal="right" vertical="center"/>
    </xf>
    <xf numFmtId="175" fontId="18" fillId="4" borderId="0" xfId="1" applyNumberFormat="1" applyFont="1" applyFill="1" applyAlignment="1" applyProtection="1">
      <alignment horizontal="right" vertical="center"/>
    </xf>
    <xf numFmtId="0" fontId="18" fillId="0" borderId="127" xfId="1" applyFont="1" applyBorder="1" applyAlignment="1" applyProtection="1">
      <alignment horizontal="right" vertical="center" wrapText="1"/>
    </xf>
    <xf numFmtId="0" fontId="18" fillId="0" borderId="65" xfId="1" applyFont="1" applyBorder="1" applyAlignment="1" applyProtection="1">
      <alignment horizontal="right" vertical="center" wrapText="1"/>
    </xf>
    <xf numFmtId="0" fontId="18" fillId="0" borderId="66" xfId="1" applyFont="1" applyBorder="1" applyAlignment="1" applyProtection="1">
      <alignment horizontal="right" vertical="center" wrapText="1"/>
    </xf>
    <xf numFmtId="176" fontId="18" fillId="4" borderId="85" xfId="1" applyNumberFormat="1" applyFont="1" applyFill="1" applyBorder="1" applyAlignment="1" applyProtection="1">
      <alignment horizontal="right" vertical="center"/>
    </xf>
    <xf numFmtId="0" fontId="18" fillId="0" borderId="108" xfId="1" applyFont="1" applyBorder="1" applyAlignment="1" applyProtection="1">
      <alignment horizontal="right" vertical="center" wrapText="1"/>
    </xf>
    <xf numFmtId="0" fontId="18" fillId="0" borderId="21" xfId="1" applyFont="1" applyBorder="1" applyAlignment="1" applyProtection="1">
      <alignment horizontal="right" vertical="center" wrapText="1"/>
    </xf>
    <xf numFmtId="0" fontId="18" fillId="0" borderId="22" xfId="1" applyFont="1" applyBorder="1" applyAlignment="1" applyProtection="1">
      <alignment horizontal="right" vertical="center" wrapText="1"/>
    </xf>
    <xf numFmtId="0" fontId="18" fillId="3" borderId="21" xfId="1" applyFont="1" applyFill="1" applyBorder="1" applyAlignment="1" applyProtection="1">
      <alignment horizontal="left" vertical="center" indent="1"/>
    </xf>
    <xf numFmtId="0" fontId="18" fillId="3" borderId="22" xfId="1" applyFont="1" applyFill="1" applyBorder="1" applyAlignment="1" applyProtection="1">
      <alignment horizontal="left" vertical="center" indent="1"/>
    </xf>
    <xf numFmtId="0" fontId="18" fillId="3" borderId="21" xfId="1" applyFont="1" applyFill="1" applyBorder="1" applyAlignment="1" applyProtection="1">
      <alignment horizontal="right" vertical="center" indent="1"/>
    </xf>
    <xf numFmtId="0" fontId="18" fillId="3" borderId="22" xfId="1" applyFont="1" applyFill="1" applyBorder="1" applyAlignment="1" applyProtection="1">
      <alignment horizontal="right" vertical="center" indent="1"/>
    </xf>
    <xf numFmtId="0" fontId="18" fillId="3" borderId="144" xfId="1" applyFont="1" applyFill="1" applyBorder="1" applyAlignment="1" applyProtection="1">
      <alignment horizontal="right" vertical="center" indent="1"/>
    </xf>
    <xf numFmtId="1" fontId="70" fillId="7" borderId="200" xfId="0" applyNumberFormat="1" applyFont="1" applyFill="1" applyBorder="1" applyAlignment="1" applyProtection="1">
      <alignment horizontal="center" vertical="center"/>
    </xf>
    <xf numFmtId="1" fontId="70" fillId="7" borderId="205" xfId="0" applyNumberFormat="1" applyFont="1" applyFill="1" applyBorder="1" applyAlignment="1" applyProtection="1">
      <alignment horizontal="center" vertical="center"/>
    </xf>
    <xf numFmtId="3" fontId="5" fillId="4" borderId="2" xfId="0" applyNumberFormat="1" applyFont="1" applyFill="1" applyBorder="1" applyAlignment="1" applyProtection="1">
      <alignment horizontal="right" vertical="center"/>
    </xf>
    <xf numFmtId="3" fontId="5" fillId="4" borderId="3" xfId="0" applyNumberFormat="1" applyFont="1" applyFill="1" applyBorder="1" applyAlignment="1" applyProtection="1">
      <alignment horizontal="right" vertical="center"/>
    </xf>
    <xf numFmtId="3" fontId="28" fillId="4" borderId="2" xfId="0" applyNumberFormat="1" applyFont="1" applyFill="1" applyBorder="1" applyAlignment="1" applyProtection="1">
      <alignment horizontal="right" vertical="center"/>
    </xf>
    <xf numFmtId="3" fontId="28" fillId="4" borderId="81" xfId="0" applyNumberFormat="1" applyFont="1" applyFill="1" applyBorder="1" applyAlignment="1" applyProtection="1">
      <alignment horizontal="right" vertical="center"/>
    </xf>
    <xf numFmtId="0" fontId="18" fillId="3" borderId="39" xfId="1" applyFont="1" applyFill="1" applyBorder="1" applyAlignment="1" applyProtection="1">
      <alignment horizontal="left" vertical="center"/>
    </xf>
    <xf numFmtId="0" fontId="18" fillId="3" borderId="33" xfId="1" applyFont="1" applyFill="1" applyBorder="1" applyAlignment="1" applyProtection="1">
      <alignment horizontal="left" vertical="center"/>
    </xf>
    <xf numFmtId="0" fontId="18" fillId="3" borderId="43" xfId="1" applyFont="1" applyFill="1" applyBorder="1" applyAlignment="1" applyProtection="1">
      <alignment horizontal="left" vertical="center"/>
    </xf>
    <xf numFmtId="0" fontId="18" fillId="3" borderId="93" xfId="1" applyFont="1" applyFill="1" applyBorder="1" applyAlignment="1" applyProtection="1">
      <alignment horizontal="left" vertical="center"/>
    </xf>
    <xf numFmtId="0" fontId="18" fillId="5" borderId="4" xfId="1" applyFont="1" applyFill="1" applyBorder="1" applyAlignment="1" applyProtection="1">
      <alignment horizontal="center" vertical="center"/>
    </xf>
    <xf numFmtId="0" fontId="18" fillId="5" borderId="5" xfId="1" applyFont="1" applyFill="1" applyBorder="1" applyAlignment="1" applyProtection="1">
      <alignment horizontal="center" vertical="center"/>
    </xf>
    <xf numFmtId="0" fontId="77" fillId="5" borderId="65" xfId="1" applyFont="1" applyFill="1" applyBorder="1" applyAlignment="1" applyProtection="1">
      <alignment horizontal="left" vertical="center" indent="1"/>
    </xf>
    <xf numFmtId="0" fontId="77" fillId="5" borderId="66" xfId="1" applyFont="1" applyFill="1" applyBorder="1" applyAlignment="1" applyProtection="1">
      <alignment horizontal="left" vertical="center" indent="1"/>
    </xf>
    <xf numFmtId="0" fontId="77" fillId="5" borderId="65" xfId="1" applyFont="1" applyFill="1" applyBorder="1" applyAlignment="1" applyProtection="1">
      <alignment horizontal="right" vertical="center" indent="1"/>
    </xf>
    <xf numFmtId="0" fontId="77" fillId="5" borderId="66" xfId="1" applyFont="1" applyFill="1" applyBorder="1" applyAlignment="1" applyProtection="1">
      <alignment horizontal="right" vertical="center" indent="1"/>
    </xf>
    <xf numFmtId="3" fontId="18" fillId="6" borderId="2" xfId="1" applyNumberFormat="1" applyFont="1" applyFill="1" applyBorder="1" applyAlignment="1" applyProtection="1">
      <alignment horizontal="right" vertical="center"/>
    </xf>
    <xf numFmtId="3" fontId="18" fillId="6" borderId="61" xfId="1" applyNumberFormat="1" applyFont="1" applyFill="1" applyBorder="1" applyAlignment="1" applyProtection="1">
      <alignment horizontal="right" vertical="center"/>
    </xf>
    <xf numFmtId="0" fontId="18" fillId="6" borderId="2" xfId="1" applyFont="1" applyFill="1" applyBorder="1" applyAlignment="1" applyProtection="1">
      <alignment horizontal="center" vertical="center"/>
    </xf>
    <xf numFmtId="0" fontId="18" fillId="6" borderId="61" xfId="1" applyFont="1" applyFill="1" applyBorder="1" applyAlignment="1" applyProtection="1">
      <alignment horizontal="center" vertical="center"/>
    </xf>
    <xf numFmtId="0" fontId="30" fillId="11" borderId="71" xfId="1" applyFont="1" applyFill="1" applyBorder="1" applyAlignment="1" applyProtection="1">
      <alignment horizontal="left" vertical="center"/>
    </xf>
    <xf numFmtId="9" fontId="39" fillId="0" borderId="61" xfId="1" applyNumberFormat="1" applyFont="1" applyBorder="1" applyAlignment="1" applyProtection="1">
      <alignment horizontal="right" vertical="top"/>
    </xf>
    <xf numFmtId="185" fontId="32" fillId="0" borderId="4" xfId="1" applyNumberFormat="1" applyFont="1" applyFill="1" applyBorder="1" applyAlignment="1" applyProtection="1">
      <alignment horizontal="right" vertical="top" wrapText="1"/>
    </xf>
    <xf numFmtId="185" fontId="32" fillId="0" borderId="0" xfId="1" applyNumberFormat="1" applyFont="1" applyFill="1" applyBorder="1" applyAlignment="1" applyProtection="1">
      <alignment horizontal="right" vertical="top" wrapText="1"/>
    </xf>
    <xf numFmtId="181" fontId="32" fillId="0" borderId="0" xfId="1" applyNumberFormat="1" applyFont="1" applyFill="1" applyBorder="1" applyAlignment="1" applyProtection="1">
      <alignment horizontal="left" vertical="top" wrapText="1"/>
    </xf>
    <xf numFmtId="0" fontId="18" fillId="3" borderId="65" xfId="1" applyFont="1" applyFill="1" applyBorder="1" applyAlignment="1" applyProtection="1">
      <alignment horizontal="right" vertical="center" indent="1"/>
    </xf>
    <xf numFmtId="0" fontId="18" fillId="3" borderId="67" xfId="1" applyFont="1" applyFill="1" applyBorder="1" applyAlignment="1" applyProtection="1">
      <alignment horizontal="right" vertical="center" indent="1"/>
    </xf>
    <xf numFmtId="172" fontId="13" fillId="6" borderId="60" xfId="1" applyNumberFormat="1" applyFont="1" applyFill="1" applyBorder="1" applyAlignment="1" applyProtection="1">
      <alignment horizontal="left" vertical="center"/>
    </xf>
    <xf numFmtId="172" fontId="13" fillId="6" borderId="61" xfId="1" applyNumberFormat="1" applyFont="1" applyFill="1" applyBorder="1" applyAlignment="1" applyProtection="1">
      <alignment horizontal="left" vertical="center"/>
    </xf>
    <xf numFmtId="172" fontId="13" fillId="6" borderId="62" xfId="1" applyNumberFormat="1" applyFont="1" applyFill="1" applyBorder="1" applyAlignment="1" applyProtection="1">
      <alignment horizontal="left" vertical="center"/>
    </xf>
    <xf numFmtId="173" fontId="13" fillId="6" borderId="63" xfId="1" applyNumberFormat="1" applyFill="1" applyBorder="1" applyAlignment="1" applyProtection="1">
      <alignment horizontal="right" vertical="center"/>
    </xf>
    <xf numFmtId="173" fontId="13" fillId="6" borderId="76" xfId="1" applyNumberFormat="1" applyFill="1" applyBorder="1" applyAlignment="1" applyProtection="1">
      <alignment horizontal="right" vertical="center"/>
    </xf>
    <xf numFmtId="164" fontId="18" fillId="3" borderId="7" xfId="1" applyNumberFormat="1" applyFont="1" applyFill="1" applyBorder="1" applyAlignment="1" applyProtection="1">
      <alignment horizontal="center" vertical="center"/>
    </xf>
    <xf numFmtId="189" fontId="18" fillId="4" borderId="7" xfId="1" applyNumberFormat="1" applyFont="1" applyFill="1" applyBorder="1" applyAlignment="1" applyProtection="1">
      <alignment horizontal="center" vertical="center"/>
    </xf>
    <xf numFmtId="0" fontId="18" fillId="3" borderId="7" xfId="1" applyFont="1" applyFill="1" applyBorder="1" applyAlignment="1" applyProtection="1">
      <alignment horizontal="left" vertical="center"/>
    </xf>
    <xf numFmtId="176" fontId="18" fillId="5" borderId="7" xfId="1" applyNumberFormat="1" applyFont="1" applyFill="1" applyBorder="1" applyAlignment="1" applyProtection="1">
      <alignment horizontal="center" vertical="center"/>
    </xf>
    <xf numFmtId="3" fontId="18" fillId="4" borderId="7" xfId="1" applyNumberFormat="1" applyFont="1" applyFill="1" applyBorder="1" applyAlignment="1" applyProtection="1">
      <alignment horizontal="right" vertical="center"/>
    </xf>
    <xf numFmtId="177" fontId="32" fillId="0" borderId="0" xfId="1" applyNumberFormat="1" applyFont="1" applyFill="1" applyBorder="1" applyAlignment="1" applyProtection="1">
      <alignment horizontal="center" vertical="top" wrapText="1"/>
    </xf>
    <xf numFmtId="0" fontId="18" fillId="3" borderId="44" xfId="1" applyFont="1" applyFill="1" applyBorder="1" applyAlignment="1" applyProtection="1">
      <alignment horizontal="left" vertical="center"/>
    </xf>
    <xf numFmtId="0" fontId="18" fillId="3" borderId="96" xfId="1" applyFont="1" applyFill="1" applyBorder="1" applyAlignment="1" applyProtection="1">
      <alignment horizontal="left" vertical="center"/>
    </xf>
    <xf numFmtId="0" fontId="18" fillId="3" borderId="207" xfId="1" applyFont="1" applyFill="1" applyBorder="1" applyAlignment="1" applyProtection="1">
      <alignment horizontal="left" vertical="center"/>
    </xf>
    <xf numFmtId="166" fontId="18" fillId="4" borderId="33" xfId="1" applyNumberFormat="1" applyFont="1" applyFill="1" applyBorder="1" applyAlignment="1" applyProtection="1">
      <alignment horizontal="right" vertical="center"/>
    </xf>
    <xf numFmtId="0" fontId="18" fillId="6" borderId="51" xfId="1" applyFont="1" applyFill="1" applyBorder="1" applyAlignment="1" applyProtection="1">
      <alignment horizontal="left" vertical="center" wrapText="1"/>
    </xf>
    <xf numFmtId="0" fontId="18" fillId="6" borderId="52" xfId="1" applyFont="1" applyFill="1" applyBorder="1" applyAlignment="1" applyProtection="1">
      <alignment horizontal="left" vertical="center" wrapText="1"/>
    </xf>
    <xf numFmtId="0" fontId="18" fillId="6" borderId="145" xfId="1" applyFont="1" applyFill="1" applyBorder="1" applyAlignment="1" applyProtection="1">
      <alignment horizontal="left" vertical="center" wrapText="1"/>
    </xf>
    <xf numFmtId="0" fontId="18" fillId="6" borderId="56" xfId="1" applyFont="1" applyFill="1" applyBorder="1" applyAlignment="1" applyProtection="1">
      <alignment horizontal="left" vertical="center" wrapText="1"/>
    </xf>
    <xf numFmtId="0" fontId="18" fillId="6" borderId="7" xfId="1" applyFont="1" applyFill="1" applyBorder="1" applyAlignment="1" applyProtection="1">
      <alignment horizontal="left" vertical="center" wrapText="1"/>
    </xf>
    <xf numFmtId="0" fontId="18" fillId="6" borderId="88" xfId="1" applyFont="1" applyFill="1" applyBorder="1" applyAlignment="1" applyProtection="1">
      <alignment horizontal="left" vertical="center" wrapText="1"/>
    </xf>
    <xf numFmtId="3" fontId="18" fillId="3" borderId="89" xfId="1" applyNumberFormat="1" applyFont="1" applyFill="1" applyBorder="1" applyAlignment="1" applyProtection="1">
      <alignment horizontal="right" vertical="center"/>
    </xf>
    <xf numFmtId="3" fontId="18" fillId="3" borderId="90" xfId="1" applyNumberFormat="1" applyFont="1" applyFill="1" applyBorder="1" applyAlignment="1" applyProtection="1">
      <alignment horizontal="right" vertical="center"/>
    </xf>
    <xf numFmtId="183" fontId="31" fillId="0" borderId="7" xfId="1" applyNumberFormat="1" applyFont="1" applyBorder="1" applyAlignment="1" applyProtection="1">
      <alignment horizontal="center" vertical="top"/>
    </xf>
    <xf numFmtId="166" fontId="18" fillId="6" borderId="119" xfId="1" applyNumberFormat="1" applyFont="1" applyFill="1" applyBorder="1" applyAlignment="1" applyProtection="1">
      <alignment horizontal="right" vertical="center"/>
    </xf>
    <xf numFmtId="166" fontId="18" fillId="6" borderId="113" xfId="1" applyNumberFormat="1" applyFont="1" applyFill="1" applyBorder="1" applyAlignment="1" applyProtection="1">
      <alignment horizontal="right" vertical="center"/>
    </xf>
    <xf numFmtId="3" fontId="18" fillId="3" borderId="39" xfId="1" applyNumberFormat="1" applyFont="1" applyFill="1" applyBorder="1" applyAlignment="1" applyProtection="1">
      <alignment horizontal="right" vertical="center"/>
    </xf>
    <xf numFmtId="3" fontId="18" fillId="3" borderId="110" xfId="1" applyNumberFormat="1" applyFont="1" applyFill="1" applyBorder="1" applyAlignment="1" applyProtection="1">
      <alignment horizontal="right" vertical="center"/>
    </xf>
    <xf numFmtId="0" fontId="18" fillId="0" borderId="33" xfId="1" applyFont="1" applyFill="1" applyBorder="1" applyAlignment="1" applyProtection="1">
      <alignment horizontal="left" vertical="center"/>
    </xf>
    <xf numFmtId="0" fontId="18" fillId="0" borderId="69" xfId="1" applyFont="1" applyFill="1" applyBorder="1" applyAlignment="1" applyProtection="1">
      <alignment horizontal="left" vertical="center"/>
    </xf>
    <xf numFmtId="0" fontId="18" fillId="4" borderId="72" xfId="1" applyFont="1" applyFill="1" applyBorder="1" applyAlignment="1" applyProtection="1">
      <alignment horizontal="right" vertical="center"/>
    </xf>
    <xf numFmtId="3" fontId="18" fillId="4" borderId="91" xfId="1" applyNumberFormat="1" applyFont="1" applyFill="1" applyBorder="1" applyAlignment="1" applyProtection="1">
      <alignment horizontal="right" vertical="center"/>
    </xf>
    <xf numFmtId="3" fontId="18" fillId="4" borderId="92" xfId="1" applyNumberFormat="1" applyFont="1" applyFill="1" applyBorder="1" applyAlignment="1" applyProtection="1">
      <alignment horizontal="right" vertical="center"/>
    </xf>
    <xf numFmtId="3" fontId="18" fillId="6" borderId="131" xfId="1" applyNumberFormat="1" applyFont="1" applyFill="1" applyBorder="1" applyAlignment="1" applyProtection="1">
      <alignment horizontal="right" vertical="center"/>
    </xf>
    <xf numFmtId="3" fontId="18" fillId="6" borderId="211" xfId="1" applyNumberFormat="1" applyFont="1" applyFill="1" applyBorder="1" applyAlignment="1" applyProtection="1">
      <alignment horizontal="right" vertical="center"/>
    </xf>
    <xf numFmtId="167" fontId="18" fillId="4" borderId="33" xfId="1" applyNumberFormat="1" applyFont="1" applyFill="1" applyBorder="1" applyAlignment="1" applyProtection="1">
      <alignment horizontal="right" vertical="center"/>
    </xf>
    <xf numFmtId="165" fontId="18" fillId="0" borderId="9" xfId="1" applyNumberFormat="1" applyFont="1" applyFill="1" applyBorder="1" applyAlignment="1" applyProtection="1">
      <alignment horizontal="center" vertical="center"/>
    </xf>
    <xf numFmtId="3" fontId="81" fillId="4" borderId="39" xfId="1" applyNumberFormat="1" applyFont="1" applyFill="1" applyBorder="1" applyAlignment="1" applyProtection="1">
      <alignment horizontal="right" vertical="center"/>
    </xf>
    <xf numFmtId="3" fontId="81" fillId="4" borderId="110" xfId="1" applyNumberFormat="1" applyFont="1" applyFill="1" applyBorder="1" applyAlignment="1" applyProtection="1">
      <alignment horizontal="right" vertical="center"/>
    </xf>
    <xf numFmtId="182" fontId="32" fillId="0" borderId="43" xfId="1" applyNumberFormat="1" applyFont="1" applyFill="1" applyBorder="1" applyAlignment="1" applyProtection="1">
      <alignment horizontal="center" vertical="center"/>
    </xf>
    <xf numFmtId="182" fontId="32" fillId="0" borderId="50" xfId="1" applyNumberFormat="1" applyFont="1" applyFill="1" applyBorder="1" applyAlignment="1" applyProtection="1">
      <alignment horizontal="center" vertical="center"/>
    </xf>
    <xf numFmtId="0" fontId="18" fillId="0" borderId="85" xfId="1" applyFont="1" applyBorder="1" applyAlignment="1" applyProtection="1">
      <alignment horizontal="right" vertical="center"/>
    </xf>
    <xf numFmtId="0" fontId="18" fillId="0" borderId="43" xfId="1" applyFont="1" applyBorder="1" applyAlignment="1" applyProtection="1">
      <alignment horizontal="right" vertical="center"/>
    </xf>
    <xf numFmtId="3" fontId="18" fillId="4" borderId="39" xfId="1" applyNumberFormat="1" applyFont="1" applyFill="1" applyBorder="1" applyAlignment="1" applyProtection="1">
      <alignment horizontal="right" vertical="center"/>
    </xf>
    <xf numFmtId="3" fontId="18" fillId="4" borderId="110" xfId="1" applyNumberFormat="1" applyFont="1" applyFill="1" applyBorder="1" applyAlignment="1" applyProtection="1">
      <alignment horizontal="right" vertical="center"/>
    </xf>
    <xf numFmtId="186" fontId="32" fillId="0" borderId="5" xfId="1" applyNumberFormat="1" applyFont="1" applyFill="1" applyBorder="1" applyAlignment="1" applyProtection="1">
      <alignment horizontal="right" vertical="center"/>
    </xf>
    <xf numFmtId="0" fontId="18" fillId="0" borderId="61" xfId="1" applyFont="1" applyBorder="1" applyAlignment="1" applyProtection="1">
      <alignment horizontal="right" vertical="center"/>
    </xf>
    <xf numFmtId="3" fontId="18" fillId="4" borderId="209" xfId="1" applyNumberFormat="1" applyFont="1" applyFill="1" applyBorder="1" applyAlignment="1" applyProtection="1">
      <alignment horizontal="right" vertical="center"/>
    </xf>
    <xf numFmtId="3" fontId="18" fillId="4" borderId="210" xfId="1" applyNumberFormat="1" applyFont="1" applyFill="1" applyBorder="1" applyAlignment="1" applyProtection="1">
      <alignment horizontal="right" vertical="center"/>
    </xf>
    <xf numFmtId="0" fontId="18" fillId="0" borderId="61" xfId="1" applyFont="1" applyFill="1" applyBorder="1" applyAlignment="1" applyProtection="1">
      <alignment horizontal="left" vertical="center"/>
    </xf>
    <xf numFmtId="0" fontId="18" fillId="0" borderId="76" xfId="1" applyFont="1" applyFill="1" applyBorder="1" applyAlignment="1" applyProtection="1">
      <alignment horizontal="left" vertical="center"/>
    </xf>
    <xf numFmtId="187" fontId="18" fillId="0" borderId="33" xfId="1" applyNumberFormat="1" applyFont="1" applyFill="1" applyBorder="1" applyAlignment="1" applyProtection="1">
      <alignment horizontal="right" vertical="center"/>
    </xf>
    <xf numFmtId="187" fontId="18" fillId="0" borderId="34" xfId="1" applyNumberFormat="1" applyFont="1" applyFill="1" applyBorder="1" applyAlignment="1" applyProtection="1">
      <alignment horizontal="right" vertical="center"/>
    </xf>
    <xf numFmtId="176" fontId="18" fillId="6" borderId="75" xfId="1" applyNumberFormat="1" applyFont="1" applyFill="1" applyBorder="1" applyAlignment="1" applyProtection="1">
      <alignment horizontal="center" vertical="center"/>
    </xf>
    <xf numFmtId="176" fontId="18" fillId="6" borderId="70" xfId="1" applyNumberFormat="1" applyFont="1" applyFill="1" applyBorder="1" applyAlignment="1" applyProtection="1">
      <alignment horizontal="center" vertical="center"/>
    </xf>
    <xf numFmtId="166" fontId="18" fillId="4" borderId="0" xfId="1" applyNumberFormat="1" applyFont="1" applyFill="1" applyBorder="1" applyAlignment="1" applyProtection="1">
      <alignment horizontal="right" vertical="center"/>
    </xf>
    <xf numFmtId="192" fontId="18" fillId="0" borderId="0" xfId="1" applyNumberFormat="1" applyFont="1" applyFill="1" applyBorder="1" applyAlignment="1" applyProtection="1">
      <alignment horizontal="right" vertical="center"/>
    </xf>
    <xf numFmtId="188" fontId="18" fillId="0" borderId="7" xfId="1" applyNumberFormat="1" applyFont="1" applyFill="1" applyBorder="1" applyAlignment="1" applyProtection="1">
      <alignment horizontal="right" vertical="center"/>
    </xf>
    <xf numFmtId="188" fontId="18" fillId="0" borderId="8" xfId="1" applyNumberFormat="1" applyFont="1" applyFill="1" applyBorder="1" applyAlignment="1" applyProtection="1">
      <alignment horizontal="right" vertical="center"/>
    </xf>
    <xf numFmtId="166" fontId="18" fillId="4" borderId="2" xfId="1" applyNumberFormat="1" applyFont="1" applyFill="1" applyBorder="1" applyAlignment="1" applyProtection="1">
      <alignment horizontal="right" vertical="center"/>
    </xf>
    <xf numFmtId="192" fontId="18" fillId="0" borderId="9" xfId="1" applyNumberFormat="1" applyFont="1" applyFill="1" applyBorder="1" applyAlignment="1" applyProtection="1">
      <alignment horizontal="right" vertical="center"/>
    </xf>
    <xf numFmtId="188" fontId="18" fillId="0" borderId="9" xfId="1" applyNumberFormat="1" applyFont="1" applyFill="1" applyBorder="1" applyAlignment="1" applyProtection="1">
      <alignment horizontal="right" vertical="center"/>
    </xf>
    <xf numFmtId="188" fontId="18" fillId="0" borderId="10" xfId="1" applyNumberFormat="1" applyFont="1" applyFill="1" applyBorder="1" applyAlignment="1" applyProtection="1">
      <alignment horizontal="right" vertical="center"/>
    </xf>
    <xf numFmtId="0" fontId="18" fillId="3" borderId="75" xfId="1" applyFont="1" applyFill="1" applyBorder="1" applyAlignment="1" applyProtection="1">
      <alignment horizontal="left" vertical="top" wrapText="1"/>
    </xf>
    <xf numFmtId="0" fontId="18" fillId="3" borderId="0" xfId="1" applyFont="1" applyFill="1" applyBorder="1" applyAlignment="1" applyProtection="1">
      <alignment horizontal="left" vertical="top" wrapText="1"/>
    </xf>
    <xf numFmtId="0" fontId="18" fillId="3" borderId="70" xfId="1" applyFont="1" applyFill="1" applyBorder="1" applyAlignment="1" applyProtection="1">
      <alignment horizontal="left" vertical="top" wrapText="1"/>
    </xf>
    <xf numFmtId="0" fontId="18" fillId="3" borderId="60" xfId="1" applyFont="1" applyFill="1" applyBorder="1" applyAlignment="1" applyProtection="1">
      <alignment horizontal="left" vertical="top" wrapText="1"/>
    </xf>
    <xf numFmtId="0" fontId="18" fillId="3" borderId="61" xfId="1" applyFont="1" applyFill="1" applyBorder="1" applyAlignment="1" applyProtection="1">
      <alignment horizontal="left" vertical="top" wrapText="1"/>
    </xf>
    <xf numFmtId="0" fontId="18" fillId="3" borderId="76" xfId="1" applyFont="1" applyFill="1" applyBorder="1" applyAlignment="1" applyProtection="1">
      <alignment horizontal="left" vertical="top" wrapText="1"/>
    </xf>
    <xf numFmtId="176" fontId="18" fillId="3" borderId="0" xfId="1" applyNumberFormat="1" applyFont="1" applyFill="1" applyBorder="1" applyAlignment="1" applyProtection="1">
      <alignment horizontal="right" vertical="center"/>
    </xf>
    <xf numFmtId="190" fontId="18" fillId="0" borderId="0" xfId="1" applyNumberFormat="1" applyFont="1" applyFill="1" applyBorder="1" applyAlignment="1" applyProtection="1">
      <alignment horizontal="left" vertical="center"/>
    </xf>
    <xf numFmtId="176" fontId="32" fillId="0" borderId="1" xfId="1" applyNumberFormat="1" applyFont="1" applyBorder="1" applyAlignment="1" applyProtection="1">
      <alignment horizontal="left" vertical="center"/>
    </xf>
    <xf numFmtId="176" fontId="32" fillId="0" borderId="2" xfId="1" applyNumberFormat="1" applyFont="1" applyBorder="1" applyAlignment="1" applyProtection="1">
      <alignment horizontal="left" vertical="center"/>
    </xf>
    <xf numFmtId="176" fontId="32" fillId="0" borderId="3" xfId="1" applyNumberFormat="1" applyFont="1" applyBorder="1" applyAlignment="1" applyProtection="1">
      <alignment horizontal="left" vertical="center"/>
    </xf>
    <xf numFmtId="2" fontId="18" fillId="0" borderId="2" xfId="1" applyNumberFormat="1" applyFont="1" applyBorder="1" applyAlignment="1" applyProtection="1">
      <alignment horizontal="center" vertical="center"/>
    </xf>
    <xf numFmtId="191" fontId="18" fillId="0" borderId="7" xfId="1" applyNumberFormat="1" applyFont="1" applyBorder="1" applyAlignment="1" applyProtection="1">
      <alignment horizontal="right" vertical="center"/>
    </xf>
    <xf numFmtId="182" fontId="18" fillId="3" borderId="0" xfId="1" applyNumberFormat="1" applyFont="1" applyFill="1" applyBorder="1" applyAlignment="1" applyProtection="1">
      <alignment horizontal="right" vertical="center"/>
    </xf>
    <xf numFmtId="176" fontId="32" fillId="0" borderId="32" xfId="1" applyNumberFormat="1" applyFont="1" applyBorder="1" applyAlignment="1" applyProtection="1">
      <alignment horizontal="left" vertical="center"/>
    </xf>
    <xf numFmtId="176" fontId="32" fillId="0" borderId="33" xfId="1" applyNumberFormat="1" applyFont="1" applyBorder="1" applyAlignment="1" applyProtection="1">
      <alignment horizontal="left" vertical="center"/>
    </xf>
    <xf numFmtId="176" fontId="32" fillId="0" borderId="34" xfId="1" applyNumberFormat="1" applyFont="1" applyBorder="1" applyAlignment="1" applyProtection="1">
      <alignment horizontal="left" vertical="center"/>
    </xf>
    <xf numFmtId="0" fontId="18" fillId="0" borderId="80" xfId="1" applyFont="1" applyBorder="1" applyAlignment="1" applyProtection="1">
      <alignment horizontal="right" vertical="center"/>
    </xf>
    <xf numFmtId="0" fontId="18" fillId="0" borderId="2" xfId="1" applyFont="1" applyBorder="1" applyAlignment="1" applyProtection="1">
      <alignment horizontal="right" vertical="center"/>
    </xf>
    <xf numFmtId="0" fontId="18" fillId="0" borderId="56" xfId="1" applyFont="1" applyBorder="1" applyAlignment="1" applyProtection="1">
      <alignment horizontal="right" vertical="center"/>
    </xf>
    <xf numFmtId="0" fontId="18" fillId="0" borderId="7" xfId="1" applyFont="1" applyBorder="1" applyAlignment="1" applyProtection="1">
      <alignment horizontal="right" vertical="center"/>
    </xf>
    <xf numFmtId="176" fontId="18" fillId="6" borderId="60" xfId="1" applyNumberFormat="1" applyFont="1" applyFill="1" applyBorder="1" applyAlignment="1" applyProtection="1">
      <alignment horizontal="center" vertical="center"/>
    </xf>
    <xf numFmtId="176" fontId="18" fillId="6" borderId="76" xfId="1" applyNumberFormat="1" applyFont="1" applyFill="1" applyBorder="1" applyAlignment="1" applyProtection="1">
      <alignment horizontal="center" vertical="center"/>
    </xf>
    <xf numFmtId="3" fontId="18" fillId="3" borderId="40" xfId="1" applyNumberFormat="1" applyFont="1" applyFill="1" applyBorder="1" applyAlignment="1" applyProtection="1">
      <alignment horizontal="right" vertical="center"/>
    </xf>
    <xf numFmtId="3" fontId="18" fillId="3" borderId="111" xfId="1" applyNumberFormat="1" applyFont="1" applyFill="1" applyBorder="1" applyAlignment="1" applyProtection="1">
      <alignment horizontal="right" vertical="center"/>
    </xf>
    <xf numFmtId="166" fontId="18" fillId="4" borderId="23" xfId="1" applyNumberFormat="1" applyFont="1" applyFill="1" applyBorder="1" applyAlignment="1" applyProtection="1">
      <alignment horizontal="right" vertical="center"/>
    </xf>
    <xf numFmtId="166" fontId="18" fillId="4" borderId="15" xfId="1" applyNumberFormat="1" applyFont="1" applyFill="1" applyBorder="1" applyAlignment="1" applyProtection="1">
      <alignment horizontal="right" vertical="center"/>
    </xf>
    <xf numFmtId="176" fontId="32" fillId="0" borderId="64" xfId="1" applyNumberFormat="1" applyFont="1" applyBorder="1" applyAlignment="1" applyProtection="1">
      <alignment horizontal="left" vertical="center"/>
    </xf>
    <xf numFmtId="176" fontId="32" fillId="0" borderId="65" xfId="1" applyNumberFormat="1" applyFont="1" applyBorder="1" applyAlignment="1" applyProtection="1">
      <alignment horizontal="left" vertical="center"/>
    </xf>
    <xf numFmtId="176" fontId="32" fillId="0" borderId="66" xfId="1" applyNumberFormat="1" applyFont="1" applyBorder="1" applyAlignment="1" applyProtection="1">
      <alignment horizontal="left" vertical="center"/>
    </xf>
    <xf numFmtId="0" fontId="13" fillId="6" borderId="73" xfId="1" applyFill="1" applyBorder="1" applyAlignment="1" applyProtection="1">
      <alignment horizontal="center"/>
    </xf>
    <xf numFmtId="0" fontId="13" fillId="6" borderId="107" xfId="1" applyFill="1" applyBorder="1" applyAlignment="1" applyProtection="1">
      <alignment horizontal="center"/>
    </xf>
    <xf numFmtId="0" fontId="13" fillId="6" borderId="5" xfId="1" applyFill="1" applyBorder="1" applyAlignment="1" applyProtection="1">
      <alignment horizontal="center"/>
    </xf>
    <xf numFmtId="0" fontId="13" fillId="6" borderId="27" xfId="1" applyFill="1" applyBorder="1" applyAlignment="1" applyProtection="1">
      <alignment horizontal="center"/>
    </xf>
    <xf numFmtId="0" fontId="13" fillId="6" borderId="51" xfId="1" applyFill="1" applyBorder="1" applyAlignment="1" applyProtection="1">
      <alignment horizontal="center" vertical="center" textRotation="90"/>
    </xf>
    <xf numFmtId="0" fontId="13" fillId="6" borderId="75" xfId="1" applyFill="1" applyBorder="1" applyAlignment="1" applyProtection="1">
      <alignment horizontal="center" vertical="center" textRotation="90"/>
    </xf>
    <xf numFmtId="0" fontId="13" fillId="6" borderId="60" xfId="1" applyFill="1" applyBorder="1" applyAlignment="1" applyProtection="1">
      <alignment horizontal="center" vertical="center" textRotation="90"/>
    </xf>
    <xf numFmtId="0" fontId="31" fillId="6" borderId="98" xfId="1" applyFont="1" applyFill="1" applyBorder="1" applyAlignment="1" applyProtection="1">
      <alignment horizontal="center" vertical="center"/>
    </xf>
    <xf numFmtId="0" fontId="31" fillId="6" borderId="99" xfId="1" applyFont="1" applyFill="1" applyBorder="1" applyAlignment="1" applyProtection="1">
      <alignment horizontal="center" vertical="center"/>
    </xf>
    <xf numFmtId="0" fontId="32" fillId="6" borderId="99" xfId="1" applyFont="1" applyFill="1" applyBorder="1" applyAlignment="1" applyProtection="1">
      <alignment horizontal="center" vertical="center"/>
    </xf>
    <xf numFmtId="0" fontId="31" fillId="6" borderId="10" xfId="1" applyFont="1" applyFill="1" applyBorder="1" applyAlignment="1" applyProtection="1">
      <alignment horizontal="center" vertical="center"/>
    </xf>
    <xf numFmtId="0" fontId="31" fillId="6" borderId="25" xfId="1" applyFont="1" applyFill="1" applyBorder="1" applyAlignment="1" applyProtection="1">
      <alignment horizontal="center" vertical="center"/>
    </xf>
    <xf numFmtId="0" fontId="32" fillId="6" borderId="25" xfId="1" applyFont="1" applyFill="1" applyBorder="1" applyAlignment="1" applyProtection="1">
      <alignment horizontal="center" vertical="center"/>
    </xf>
    <xf numFmtId="0" fontId="32" fillId="6" borderId="10" xfId="1" applyFont="1" applyFill="1" applyBorder="1" applyAlignment="1" applyProtection="1">
      <alignment horizontal="center" vertical="center"/>
    </xf>
    <xf numFmtId="0" fontId="32" fillId="6" borderId="55" xfId="1" applyFont="1" applyFill="1" applyBorder="1" applyAlignment="1" applyProtection="1">
      <alignment horizontal="center" vertical="center"/>
    </xf>
    <xf numFmtId="0" fontId="32" fillId="6" borderId="53" xfId="1" applyFont="1" applyFill="1" applyBorder="1" applyAlignment="1" applyProtection="1">
      <alignment horizontal="center" vertical="center"/>
    </xf>
    <xf numFmtId="0" fontId="32" fillId="6" borderId="6" xfId="1" applyFont="1" applyFill="1" applyBorder="1" applyAlignment="1" applyProtection="1">
      <alignment horizontal="center" vertical="center"/>
    </xf>
    <xf numFmtId="0" fontId="32" fillId="6" borderId="57" xfId="1" applyFont="1" applyFill="1" applyBorder="1" applyAlignment="1" applyProtection="1">
      <alignment horizontal="center" vertical="center"/>
    </xf>
    <xf numFmtId="0" fontId="30" fillId="0" borderId="1" xfId="1" applyFont="1" applyBorder="1" applyAlignment="1" applyProtection="1">
      <alignment horizontal="center" vertical="center" wrapText="1"/>
    </xf>
    <xf numFmtId="0" fontId="30" fillId="0" borderId="2" xfId="1" applyFont="1" applyBorder="1" applyAlignment="1" applyProtection="1">
      <alignment horizontal="center" vertical="center" wrapText="1"/>
    </xf>
    <xf numFmtId="0" fontId="30" fillId="0" borderId="3" xfId="1" applyFont="1" applyBorder="1" applyAlignment="1" applyProtection="1">
      <alignment horizontal="center" vertical="center" wrapText="1"/>
    </xf>
    <xf numFmtId="0" fontId="30" fillId="0" borderId="4" xfId="1" applyFont="1" applyBorder="1" applyAlignment="1" applyProtection="1">
      <alignment horizontal="center" vertical="center" wrapText="1"/>
    </xf>
    <xf numFmtId="0" fontId="30" fillId="0" borderId="0" xfId="1" applyFont="1" applyBorder="1" applyAlignment="1" applyProtection="1">
      <alignment horizontal="center" vertical="center" wrapText="1"/>
    </xf>
    <xf numFmtId="0" fontId="30" fillId="0" borderId="5" xfId="1" applyFont="1" applyBorder="1" applyAlignment="1" applyProtection="1">
      <alignment horizontal="center" vertical="center" wrapText="1"/>
    </xf>
    <xf numFmtId="0" fontId="30" fillId="0" borderId="6" xfId="1" applyFont="1" applyBorder="1" applyAlignment="1" applyProtection="1">
      <alignment horizontal="center" vertical="center" wrapText="1"/>
    </xf>
    <xf numFmtId="0" fontId="30" fillId="0" borderId="7" xfId="1" applyFont="1" applyBorder="1" applyAlignment="1" applyProtection="1">
      <alignment horizontal="center" vertical="center" wrapText="1"/>
    </xf>
    <xf numFmtId="0" fontId="30" fillId="0" borderId="8" xfId="1" applyFont="1" applyBorder="1" applyAlignment="1" applyProtection="1">
      <alignment horizontal="center" vertical="center" wrapText="1"/>
    </xf>
    <xf numFmtId="0" fontId="32" fillId="6" borderId="83" xfId="1" applyFont="1" applyFill="1" applyBorder="1" applyAlignment="1" applyProtection="1">
      <alignment horizontal="center" vertical="center"/>
    </xf>
    <xf numFmtId="0" fontId="32" fillId="6" borderId="84" xfId="1" applyFont="1" applyFill="1" applyBorder="1" applyAlignment="1" applyProtection="1">
      <alignment horizontal="center" vertical="center"/>
    </xf>
    <xf numFmtId="0" fontId="32" fillId="6" borderId="26" xfId="1" applyFont="1" applyFill="1" applyBorder="1" applyAlignment="1" applyProtection="1">
      <alignment horizontal="center" vertical="center"/>
    </xf>
    <xf numFmtId="0" fontId="32" fillId="6" borderId="101" xfId="1" applyFont="1" applyFill="1" applyBorder="1" applyAlignment="1" applyProtection="1">
      <alignment horizontal="center" vertical="center"/>
    </xf>
    <xf numFmtId="0" fontId="31" fillId="6" borderId="8" xfId="1" applyFont="1" applyFill="1" applyBorder="1" applyAlignment="1" applyProtection="1">
      <alignment horizontal="center" vertical="center"/>
    </xf>
    <xf numFmtId="0" fontId="31" fillId="6" borderId="26" xfId="1" applyFont="1" applyFill="1" applyBorder="1" applyAlignment="1" applyProtection="1">
      <alignment horizontal="center" vertical="center"/>
    </xf>
    <xf numFmtId="0" fontId="32" fillId="6" borderId="8" xfId="1" applyFont="1" applyFill="1" applyBorder="1" applyAlignment="1" applyProtection="1">
      <alignment horizontal="center" vertical="center"/>
    </xf>
    <xf numFmtId="0" fontId="32" fillId="6" borderId="1" xfId="1" applyFont="1" applyFill="1" applyBorder="1" applyAlignment="1" applyProtection="1">
      <alignment horizontal="center" vertical="center"/>
    </xf>
    <xf numFmtId="0" fontId="32" fillId="6" borderId="81" xfId="1" applyFont="1" applyFill="1" applyBorder="1" applyAlignment="1" applyProtection="1">
      <alignment horizontal="center" vertical="center"/>
    </xf>
    <xf numFmtId="3" fontId="18" fillId="3" borderId="89" xfId="1" applyNumberFormat="1" applyFont="1" applyFill="1" applyBorder="1" applyAlignment="1" applyProtection="1">
      <alignment horizontal="right" vertical="center"/>
      <protection locked="0"/>
    </xf>
    <xf numFmtId="3" fontId="18" fillId="3" borderId="90" xfId="1" applyNumberFormat="1" applyFont="1" applyFill="1" applyBorder="1" applyAlignment="1" applyProtection="1">
      <alignment horizontal="right" vertical="center"/>
      <protection locked="0"/>
    </xf>
    <xf numFmtId="3" fontId="81" fillId="4" borderId="39" xfId="1" applyNumberFormat="1" applyFont="1" applyFill="1" applyBorder="1" applyAlignment="1" applyProtection="1">
      <alignment horizontal="right" vertical="center"/>
      <protection locked="0"/>
    </xf>
    <xf numFmtId="3" fontId="81" fillId="4" borderId="110" xfId="1" applyNumberFormat="1" applyFont="1" applyFill="1" applyBorder="1" applyAlignment="1" applyProtection="1">
      <alignment horizontal="right" vertical="center"/>
      <protection locked="0"/>
    </xf>
    <xf numFmtId="0" fontId="18" fillId="3" borderId="44" xfId="1" applyFont="1" applyFill="1" applyBorder="1" applyAlignment="1" applyProtection="1">
      <alignment horizontal="left" vertical="center"/>
      <protection locked="0"/>
    </xf>
    <xf numFmtId="0" fontId="18" fillId="3" borderId="96" xfId="1" applyFont="1" applyFill="1" applyBorder="1" applyAlignment="1" applyProtection="1">
      <alignment horizontal="left" vertical="center"/>
      <protection locked="0"/>
    </xf>
    <xf numFmtId="0" fontId="18" fillId="3" borderId="207" xfId="1" applyFont="1" applyFill="1" applyBorder="1" applyAlignment="1" applyProtection="1">
      <alignment horizontal="left" vertical="center"/>
      <protection locked="0"/>
    </xf>
    <xf numFmtId="165" fontId="18" fillId="3" borderId="7" xfId="1" applyNumberFormat="1" applyFont="1" applyFill="1" applyBorder="1" applyAlignment="1" applyProtection="1">
      <alignment horizontal="center" vertical="center"/>
      <protection locked="0"/>
    </xf>
    <xf numFmtId="165" fontId="18" fillId="3" borderId="57" xfId="1" applyNumberFormat="1" applyFont="1" applyFill="1" applyBorder="1" applyAlignment="1" applyProtection="1">
      <alignment horizontal="center" vertical="center"/>
      <protection locked="0"/>
    </xf>
    <xf numFmtId="0" fontId="18" fillId="3" borderId="21" xfId="1" applyFont="1" applyFill="1" applyBorder="1" applyAlignment="1" applyProtection="1">
      <alignment horizontal="right" vertical="center" indent="1"/>
      <protection locked="0"/>
    </xf>
    <xf numFmtId="0" fontId="18" fillId="3" borderId="22" xfId="1" applyFont="1" applyFill="1" applyBorder="1" applyAlignment="1" applyProtection="1">
      <alignment horizontal="right" vertical="center" indent="1"/>
      <protection locked="0"/>
    </xf>
    <xf numFmtId="0" fontId="77" fillId="5" borderId="65" xfId="1" applyFont="1" applyFill="1" applyBorder="1" applyAlignment="1" applyProtection="1">
      <alignment horizontal="right" vertical="center" indent="1"/>
      <protection locked="0"/>
    </xf>
    <xf numFmtId="0" fontId="77" fillId="5" borderId="66" xfId="1" applyFont="1" applyFill="1" applyBorder="1" applyAlignment="1" applyProtection="1">
      <alignment horizontal="right" vertical="center" indent="1"/>
      <protection locked="0"/>
    </xf>
    <xf numFmtId="0" fontId="18" fillId="3" borderId="21" xfId="1" applyFont="1" applyFill="1" applyBorder="1" applyAlignment="1" applyProtection="1">
      <alignment horizontal="left" vertical="center" indent="1"/>
      <protection locked="0"/>
    </xf>
    <xf numFmtId="0" fontId="18" fillId="3" borderId="22" xfId="1" applyFont="1" applyFill="1" applyBorder="1" applyAlignment="1" applyProtection="1">
      <alignment horizontal="left" vertical="center" indent="1"/>
      <protection locked="0"/>
    </xf>
    <xf numFmtId="0" fontId="77" fillId="5" borderId="65" xfId="1" applyFont="1" applyFill="1" applyBorder="1" applyAlignment="1" applyProtection="1">
      <alignment horizontal="left" vertical="center" indent="1"/>
      <protection locked="0"/>
    </xf>
    <xf numFmtId="0" fontId="77" fillId="5" borderId="66" xfId="1" applyFont="1" applyFill="1" applyBorder="1" applyAlignment="1" applyProtection="1">
      <alignment horizontal="left" vertical="center" indent="1"/>
      <protection locked="0"/>
    </xf>
    <xf numFmtId="165" fontId="18" fillId="0" borderId="9" xfId="1" applyNumberFormat="1" applyFont="1" applyFill="1" applyBorder="1" applyAlignment="1" applyProtection="1">
      <alignment horizontal="center" vertical="center"/>
      <protection locked="0"/>
    </xf>
    <xf numFmtId="167" fontId="18" fillId="3" borderId="148" xfId="1" applyNumberFormat="1" applyFont="1" applyFill="1" applyBorder="1" applyAlignment="1" applyProtection="1">
      <alignment horizontal="right" vertical="center"/>
      <protection locked="0"/>
    </xf>
    <xf numFmtId="167" fontId="18" fillId="3" borderId="38" xfId="1" applyNumberFormat="1" applyFont="1" applyFill="1" applyBorder="1" applyAlignment="1" applyProtection="1">
      <alignment horizontal="right" vertical="center"/>
      <protection locked="0"/>
    </xf>
    <xf numFmtId="167" fontId="18" fillId="3" borderId="7" xfId="1" applyNumberFormat="1" applyFont="1" applyFill="1" applyBorder="1" applyAlignment="1" applyProtection="1">
      <alignment horizontal="right" vertical="center"/>
      <protection locked="0"/>
    </xf>
    <xf numFmtId="3" fontId="18" fillId="3" borderId="39" xfId="1" applyNumberFormat="1" applyFont="1" applyFill="1" applyBorder="1" applyAlignment="1" applyProtection="1">
      <alignment horizontal="right" vertical="center"/>
      <protection locked="0"/>
    </xf>
    <xf numFmtId="3" fontId="18" fillId="3" borderId="110" xfId="1" applyNumberFormat="1" applyFont="1" applyFill="1" applyBorder="1" applyAlignment="1" applyProtection="1">
      <alignment horizontal="right" vertical="center"/>
      <protection locked="0"/>
    </xf>
    <xf numFmtId="0" fontId="18" fillId="5" borderId="6" xfId="1" applyFont="1" applyFill="1" applyBorder="1" applyAlignment="1" applyProtection="1">
      <alignment horizontal="center" vertical="center"/>
      <protection locked="0"/>
    </xf>
    <xf numFmtId="0" fontId="18" fillId="5" borderId="7" xfId="1" applyFont="1" applyFill="1" applyBorder="1" applyAlignment="1" applyProtection="1">
      <alignment horizontal="center" vertical="center"/>
      <protection locked="0"/>
    </xf>
    <xf numFmtId="0" fontId="18" fillId="5" borderId="57" xfId="1" applyFont="1" applyFill="1" applyBorder="1" applyAlignment="1" applyProtection="1">
      <alignment horizontal="center" vertical="center"/>
      <protection locked="0"/>
    </xf>
    <xf numFmtId="0" fontId="18" fillId="3" borderId="97" xfId="1" applyFont="1" applyFill="1" applyBorder="1" applyAlignment="1" applyProtection="1">
      <alignment horizontal="right" vertical="center"/>
      <protection locked="0"/>
    </xf>
    <xf numFmtId="0" fontId="18" fillId="3" borderId="7" xfId="1" applyFont="1" applyFill="1" applyBorder="1" applyAlignment="1" applyProtection="1">
      <alignment horizontal="left" vertical="center"/>
      <protection locked="0"/>
    </xf>
    <xf numFmtId="0" fontId="18" fillId="3" borderId="39" xfId="1" applyFont="1" applyFill="1" applyBorder="1" applyAlignment="1" applyProtection="1">
      <alignment horizontal="left" vertical="center"/>
      <protection locked="0"/>
    </xf>
    <xf numFmtId="0" fontId="18" fillId="3" borderId="33" xfId="1" applyFont="1" applyFill="1" applyBorder="1" applyAlignment="1" applyProtection="1">
      <alignment horizontal="left" vertical="center"/>
      <protection locked="0"/>
    </xf>
    <xf numFmtId="0" fontId="18" fillId="3" borderId="43" xfId="1" applyFont="1" applyFill="1" applyBorder="1" applyAlignment="1" applyProtection="1">
      <alignment horizontal="left" vertical="center"/>
      <protection locked="0"/>
    </xf>
    <xf numFmtId="0" fontId="18" fillId="3" borderId="93" xfId="1" applyFont="1" applyFill="1" applyBorder="1" applyAlignment="1" applyProtection="1">
      <alignment horizontal="left" vertical="center"/>
      <protection locked="0"/>
    </xf>
    <xf numFmtId="0" fontId="18" fillId="3" borderId="75" xfId="1" applyFont="1" applyFill="1" applyBorder="1" applyAlignment="1" applyProtection="1">
      <alignment horizontal="left" vertical="top" wrapText="1"/>
      <protection locked="0"/>
    </xf>
    <xf numFmtId="0" fontId="18" fillId="3" borderId="0" xfId="1" applyFont="1" applyFill="1" applyBorder="1" applyAlignment="1" applyProtection="1">
      <alignment horizontal="left" vertical="top" wrapText="1"/>
      <protection locked="0"/>
    </xf>
    <xf numFmtId="0" fontId="18" fillId="3" borderId="70" xfId="1" applyFont="1" applyFill="1" applyBorder="1" applyAlignment="1" applyProtection="1">
      <alignment horizontal="left" vertical="top" wrapText="1"/>
      <protection locked="0"/>
    </xf>
    <xf numFmtId="0" fontId="18" fillId="3" borderId="60" xfId="1" applyFont="1" applyFill="1" applyBorder="1" applyAlignment="1" applyProtection="1">
      <alignment horizontal="left" vertical="top" wrapText="1"/>
      <protection locked="0"/>
    </xf>
    <xf numFmtId="0" fontId="18" fillId="3" borderId="61" xfId="1" applyFont="1" applyFill="1" applyBorder="1" applyAlignment="1" applyProtection="1">
      <alignment horizontal="left" vertical="top" wrapText="1"/>
      <protection locked="0"/>
    </xf>
    <xf numFmtId="0" fontId="18" fillId="3" borderId="76" xfId="1" applyFont="1" applyFill="1" applyBorder="1" applyAlignment="1" applyProtection="1">
      <alignment horizontal="left" vertical="top" wrapText="1"/>
      <protection locked="0"/>
    </xf>
    <xf numFmtId="167" fontId="18" fillId="3" borderId="37" xfId="1" applyNumberFormat="1" applyFont="1" applyFill="1" applyBorder="1" applyAlignment="1" applyProtection="1">
      <alignment horizontal="center" vertical="center"/>
      <protection locked="0"/>
    </xf>
    <xf numFmtId="167" fontId="18" fillId="3" borderId="38" xfId="1" applyNumberFormat="1" applyFont="1" applyFill="1" applyBorder="1" applyAlignment="1" applyProtection="1">
      <alignment horizontal="center" vertical="center"/>
      <protection locked="0"/>
    </xf>
    <xf numFmtId="0" fontId="18" fillId="3" borderId="33" xfId="1" applyFont="1" applyFill="1" applyBorder="1" applyAlignment="1" applyProtection="1">
      <alignment horizontal="right" indent="1"/>
      <protection locked="0"/>
    </xf>
    <xf numFmtId="0" fontId="18" fillId="3" borderId="35" xfId="1" applyFont="1" applyFill="1" applyBorder="1" applyAlignment="1" applyProtection="1">
      <alignment horizontal="right" indent="1"/>
      <protection locked="0"/>
    </xf>
    <xf numFmtId="0" fontId="18" fillId="3" borderId="33" xfId="1" applyFont="1" applyFill="1" applyBorder="1" applyAlignment="1" applyProtection="1">
      <alignment horizontal="right" vertical="center" indent="1"/>
      <protection locked="0"/>
    </xf>
    <xf numFmtId="0" fontId="18" fillId="3" borderId="35" xfId="1" applyFont="1" applyFill="1" applyBorder="1" applyAlignment="1" applyProtection="1">
      <alignment horizontal="right" vertical="center" indent="1"/>
      <protection locked="0"/>
    </xf>
    <xf numFmtId="3" fontId="27" fillId="4" borderId="23" xfId="0" applyNumberFormat="1" applyFont="1" applyFill="1" applyBorder="1" applyAlignment="1" applyProtection="1">
      <alignment horizontal="right" vertical="center"/>
      <protection locked="0"/>
    </xf>
    <xf numFmtId="0" fontId="18" fillId="3" borderId="158" xfId="1" applyFont="1" applyFill="1" applyBorder="1" applyAlignment="1" applyProtection="1">
      <alignment horizontal="left" vertical="center"/>
      <protection locked="0"/>
    </xf>
    <xf numFmtId="0" fontId="18" fillId="3" borderId="38" xfId="1" applyFont="1" applyFill="1" applyBorder="1" applyAlignment="1" applyProtection="1">
      <alignment horizontal="left" vertical="center"/>
      <protection locked="0"/>
    </xf>
    <xf numFmtId="0" fontId="18" fillId="3" borderId="111" xfId="1" applyFont="1" applyFill="1" applyBorder="1" applyAlignment="1" applyProtection="1">
      <alignment horizontal="left" vertical="center"/>
      <protection locked="0"/>
    </xf>
    <xf numFmtId="0" fontId="18" fillId="3" borderId="38" xfId="1" applyFont="1" applyFill="1" applyBorder="1" applyAlignment="1" applyProtection="1">
      <alignment horizontal="center" vertical="center"/>
      <protection locked="0"/>
    </xf>
    <xf numFmtId="0" fontId="18" fillId="3" borderId="159" xfId="1" applyFont="1" applyFill="1" applyBorder="1" applyAlignment="1" applyProtection="1">
      <alignment horizontal="center" vertical="center"/>
      <protection locked="0"/>
    </xf>
    <xf numFmtId="0" fontId="18" fillId="3" borderId="38" xfId="1" applyFont="1" applyFill="1" applyBorder="1" applyAlignment="1" applyProtection="1">
      <alignment horizontal="right" vertical="center" indent="1"/>
      <protection locked="0"/>
    </xf>
    <xf numFmtId="0" fontId="18" fillId="3" borderId="41" xfId="1" applyFont="1" applyFill="1" applyBorder="1" applyAlignment="1" applyProtection="1">
      <alignment horizontal="right" vertical="center" indent="1"/>
      <protection locked="0"/>
    </xf>
    <xf numFmtId="0" fontId="18" fillId="3" borderId="31" xfId="1" applyFont="1" applyFill="1" applyBorder="1" applyAlignment="1" applyProtection="1">
      <alignment horizontal="right" vertical="center"/>
      <protection locked="0"/>
    </xf>
    <xf numFmtId="0" fontId="18" fillId="3" borderId="12" xfId="1" applyFont="1" applyFill="1" applyBorder="1" applyAlignment="1" applyProtection="1">
      <alignment horizontal="left" vertical="center"/>
      <protection locked="0"/>
    </xf>
    <xf numFmtId="0" fontId="18" fillId="3" borderId="13" xfId="1" applyFont="1" applyFill="1" applyBorder="1" applyAlignment="1" applyProtection="1">
      <alignment horizontal="left" vertical="center"/>
      <protection locked="0"/>
    </xf>
    <xf numFmtId="0" fontId="20" fillId="3" borderId="21" xfId="1" applyFont="1" applyFill="1" applyBorder="1" applyAlignment="1" applyProtection="1">
      <alignment horizontal="left" vertical="center"/>
      <protection locked="0"/>
    </xf>
    <xf numFmtId="0" fontId="18" fillId="3" borderId="43" xfId="1" applyFont="1" applyFill="1" applyBorder="1" applyAlignment="1" applyProtection="1">
      <alignment horizontal="right" vertical="center"/>
      <protection locked="0"/>
    </xf>
    <xf numFmtId="0" fontId="18" fillId="3" borderId="97" xfId="1" applyFont="1" applyFill="1" applyBorder="1" applyAlignment="1" applyProtection="1">
      <alignment horizontal="left" vertical="center"/>
      <protection locked="0"/>
    </xf>
    <xf numFmtId="165" fontId="18" fillId="3" borderId="101" xfId="1" applyNumberFormat="1" applyFont="1" applyFill="1" applyBorder="1" applyAlignment="1" applyProtection="1">
      <alignment horizontal="center" vertical="center"/>
      <protection locked="0"/>
    </xf>
    <xf numFmtId="0" fontId="18" fillId="3" borderId="37" xfId="1" applyFont="1" applyFill="1" applyBorder="1" applyAlignment="1" applyProtection="1">
      <alignment horizontal="center" vertical="center"/>
      <protection locked="0"/>
    </xf>
    <xf numFmtId="0" fontId="18" fillId="3" borderId="41" xfId="1" applyFont="1" applyFill="1" applyBorder="1" applyAlignment="1" applyProtection="1">
      <alignment horizontal="center" vertical="center"/>
      <protection locked="0"/>
    </xf>
    <xf numFmtId="167" fontId="18" fillId="3" borderId="38" xfId="1" applyNumberFormat="1" applyFont="1" applyFill="1" applyBorder="1" applyAlignment="1" applyProtection="1">
      <alignment vertical="center"/>
      <protection locked="0"/>
    </xf>
    <xf numFmtId="167" fontId="18" fillId="3" borderId="41" xfId="1" applyNumberFormat="1" applyFont="1" applyFill="1" applyBorder="1" applyAlignment="1" applyProtection="1">
      <alignment vertical="center"/>
      <protection locked="0"/>
    </xf>
    <xf numFmtId="0" fontId="18" fillId="3" borderId="65" xfId="1" applyFont="1" applyFill="1" applyBorder="1" applyAlignment="1" applyProtection="1">
      <alignment horizontal="right" vertical="center" indent="1"/>
      <protection locked="0"/>
    </xf>
    <xf numFmtId="0" fontId="18" fillId="3" borderId="67" xfId="1" applyFont="1" applyFill="1" applyBorder="1" applyAlignment="1" applyProtection="1">
      <alignment horizontal="right" vertical="center" indent="1"/>
      <protection locked="0"/>
    </xf>
    <xf numFmtId="0" fontId="18" fillId="3" borderId="144" xfId="1" applyFont="1" applyFill="1" applyBorder="1" applyAlignment="1" applyProtection="1">
      <alignment horizontal="right" vertical="center" indent="1"/>
      <protection locked="0"/>
    </xf>
    <xf numFmtId="0" fontId="82" fillId="0" borderId="75" xfId="1" applyFont="1" applyBorder="1" applyAlignment="1" applyProtection="1">
      <alignment horizontal="left" vertical="top" wrapText="1"/>
      <protection locked="0"/>
    </xf>
    <xf numFmtId="0" fontId="82" fillId="0" borderId="0" xfId="1" applyFont="1" applyBorder="1" applyAlignment="1" applyProtection="1">
      <alignment horizontal="left" vertical="top" wrapText="1"/>
      <protection locked="0"/>
    </xf>
    <xf numFmtId="0" fontId="82" fillId="0" borderId="92" xfId="1" applyFont="1" applyBorder="1" applyAlignment="1" applyProtection="1">
      <alignment horizontal="left" vertical="top" wrapText="1"/>
      <protection locked="0"/>
    </xf>
    <xf numFmtId="167" fontId="18" fillId="3" borderId="17" xfId="1" applyNumberFormat="1" applyFont="1" applyFill="1" applyBorder="1" applyAlignment="1" applyProtection="1">
      <alignment horizontal="right" vertical="center"/>
      <protection locked="0"/>
    </xf>
    <xf numFmtId="164" fontId="18" fillId="3" borderId="7" xfId="1" applyNumberFormat="1" applyFont="1" applyFill="1" applyBorder="1" applyAlignment="1" applyProtection="1">
      <alignment horizontal="center" vertical="center"/>
      <protection locked="0"/>
    </xf>
    <xf numFmtId="0" fontId="18" fillId="0" borderId="127" xfId="1" applyFont="1" applyBorder="1" applyAlignment="1" applyProtection="1">
      <alignment horizontal="right" vertical="center" wrapText="1"/>
      <protection locked="0"/>
    </xf>
    <xf numFmtId="0" fontId="18" fillId="0" borderId="65" xfId="1" applyFont="1" applyBorder="1" applyAlignment="1" applyProtection="1">
      <alignment horizontal="right" vertical="center" wrapText="1"/>
      <protection locked="0"/>
    </xf>
    <xf numFmtId="0" fontId="18" fillId="0" borderId="66" xfId="1" applyFont="1" applyBorder="1" applyAlignment="1" applyProtection="1">
      <alignment horizontal="right" vertical="center" wrapText="1"/>
      <protection locked="0"/>
    </xf>
    <xf numFmtId="0" fontId="14" fillId="12" borderId="2" xfId="1" applyFont="1" applyFill="1" applyBorder="1" applyAlignment="1" applyProtection="1">
      <alignment horizontal="center" vertical="center"/>
    </xf>
    <xf numFmtId="0" fontId="14" fillId="12" borderId="3" xfId="1" applyFont="1" applyFill="1" applyBorder="1" applyAlignment="1" applyProtection="1">
      <alignment horizontal="center" vertical="center"/>
    </xf>
    <xf numFmtId="0" fontId="14" fillId="12" borderId="7" xfId="1" applyFont="1" applyFill="1" applyBorder="1" applyAlignment="1" applyProtection="1">
      <alignment horizontal="center" vertical="center"/>
    </xf>
    <xf numFmtId="0" fontId="14" fillId="12" borderId="8" xfId="1" applyFont="1" applyFill="1" applyBorder="1" applyAlignment="1" applyProtection="1">
      <alignment horizontal="center" vertical="center"/>
    </xf>
    <xf numFmtId="0" fontId="18" fillId="3" borderId="15" xfId="1" applyFont="1" applyFill="1" applyBorder="1" applyAlignment="1" applyProtection="1">
      <alignment horizontal="right" vertical="center"/>
      <protection locked="0"/>
    </xf>
    <xf numFmtId="0" fontId="18" fillId="3" borderId="16" xfId="1" applyFont="1" applyFill="1" applyBorder="1" applyAlignment="1" applyProtection="1">
      <alignment horizontal="right" vertical="center"/>
      <protection locked="0"/>
    </xf>
    <xf numFmtId="14" fontId="18" fillId="3" borderId="21" xfId="1" applyNumberFormat="1" applyFont="1" applyFill="1" applyBorder="1" applyAlignment="1" applyProtection="1">
      <alignment horizontal="right" vertical="center"/>
      <protection locked="0"/>
    </xf>
    <xf numFmtId="0" fontId="18" fillId="3" borderId="21" xfId="1" applyFont="1" applyFill="1" applyBorder="1" applyAlignment="1" applyProtection="1">
      <alignment horizontal="right" vertical="center"/>
      <protection locked="0"/>
    </xf>
    <xf numFmtId="0" fontId="18" fillId="3" borderId="22" xfId="1" applyFont="1" applyFill="1" applyBorder="1" applyAlignment="1" applyProtection="1">
      <alignment horizontal="right" vertical="center"/>
      <protection locked="0"/>
    </xf>
    <xf numFmtId="14" fontId="57" fillId="3" borderId="15" xfId="1" applyNumberFormat="1" applyFont="1" applyFill="1" applyBorder="1" applyAlignment="1" applyProtection="1">
      <alignment horizontal="left" vertical="center"/>
      <protection locked="0"/>
    </xf>
    <xf numFmtId="165" fontId="18" fillId="3" borderId="29" xfId="1" applyNumberFormat="1" applyFont="1" applyFill="1" applyBorder="1" applyAlignment="1" applyProtection="1">
      <alignment horizontal="center" vertical="center"/>
      <protection locked="0"/>
    </xf>
    <xf numFmtId="165" fontId="18" fillId="3" borderId="139" xfId="1" applyNumberFormat="1" applyFont="1" applyFill="1" applyBorder="1" applyAlignment="1" applyProtection="1">
      <alignment horizontal="center" vertical="center"/>
      <protection locked="0"/>
    </xf>
    <xf numFmtId="3" fontId="18" fillId="3" borderId="40" xfId="1" applyNumberFormat="1" applyFont="1" applyFill="1" applyBorder="1" applyAlignment="1" applyProtection="1">
      <alignment horizontal="right" vertical="center"/>
      <protection locked="0"/>
    </xf>
    <xf numFmtId="3" fontId="18" fillId="3" borderId="111" xfId="1" applyNumberFormat="1" applyFont="1" applyFill="1" applyBorder="1" applyAlignment="1" applyProtection="1">
      <alignment horizontal="right" vertical="center"/>
      <protection locked="0"/>
    </xf>
    <xf numFmtId="182" fontId="18" fillId="3" borderId="0" xfId="1" applyNumberFormat="1" applyFont="1" applyFill="1" applyBorder="1" applyAlignment="1" applyProtection="1">
      <alignment horizontal="right" vertical="center"/>
      <protection locked="0"/>
    </xf>
    <xf numFmtId="176" fontId="18" fillId="3" borderId="0" xfId="1" applyNumberFormat="1" applyFont="1" applyFill="1" applyBorder="1" applyAlignment="1" applyProtection="1">
      <alignment horizontal="right" vertical="center"/>
      <protection locked="0"/>
    </xf>
    <xf numFmtId="0" fontId="14" fillId="0" borderId="1" xfId="5" applyFont="1" applyBorder="1" applyAlignment="1">
      <alignment horizontal="left" vertical="center" wrapText="1"/>
    </xf>
    <xf numFmtId="0" fontId="14" fillId="0" borderId="2" xfId="5" applyFont="1" applyBorder="1" applyAlignment="1">
      <alignment horizontal="left" vertical="center" wrapText="1"/>
    </xf>
    <xf numFmtId="0" fontId="14" fillId="0" borderId="3" xfId="5" applyFont="1" applyBorder="1" applyAlignment="1">
      <alignment horizontal="left" vertical="center" wrapText="1"/>
    </xf>
    <xf numFmtId="0" fontId="14" fillId="0" borderId="6" xfId="5" applyFont="1" applyBorder="1" applyAlignment="1">
      <alignment horizontal="left" vertical="center" wrapText="1"/>
    </xf>
    <xf numFmtId="0" fontId="14" fillId="0" borderId="7" xfId="5" applyFont="1" applyBorder="1" applyAlignment="1">
      <alignment horizontal="left" vertical="center" wrapText="1"/>
    </xf>
    <xf numFmtId="0" fontId="14" fillId="0" borderId="8" xfId="5" applyFont="1" applyBorder="1" applyAlignment="1">
      <alignment horizontal="left" vertical="center" wrapText="1"/>
    </xf>
    <xf numFmtId="0" fontId="14" fillId="2" borderId="2" xfId="6" applyFont="1" applyFill="1" applyBorder="1" applyAlignment="1" applyProtection="1">
      <alignment horizontal="right" vertical="center" wrapText="1"/>
    </xf>
    <xf numFmtId="0" fontId="14" fillId="2" borderId="3" xfId="6" applyFont="1" applyFill="1" applyBorder="1" applyAlignment="1" applyProtection="1">
      <alignment horizontal="right" vertical="center" wrapText="1"/>
    </xf>
    <xf numFmtId="0" fontId="14" fillId="2" borderId="7" xfId="6" applyFont="1" applyFill="1" applyBorder="1" applyAlignment="1" applyProtection="1">
      <alignment horizontal="right" vertical="center" wrapText="1"/>
    </xf>
    <xf numFmtId="0" fontId="14" fillId="2" borderId="8" xfId="6" applyFont="1" applyFill="1" applyBorder="1" applyAlignment="1" applyProtection="1">
      <alignment horizontal="right" vertical="center" wrapText="1"/>
    </xf>
    <xf numFmtId="0" fontId="20" fillId="0" borderId="2" xfId="1" applyFont="1" applyFill="1" applyBorder="1" applyAlignment="1">
      <alignment horizontal="left" vertical="center"/>
    </xf>
    <xf numFmtId="0" fontId="20" fillId="0" borderId="3" xfId="1" applyFont="1" applyFill="1" applyBorder="1" applyAlignment="1">
      <alignment horizontal="left" vertical="center"/>
    </xf>
    <xf numFmtId="14" fontId="13" fillId="0" borderId="2" xfId="3" applyNumberFormat="1" applyFont="1" applyFill="1" applyBorder="1" applyAlignment="1" applyProtection="1">
      <alignment horizontal="right" vertical="center"/>
    </xf>
    <xf numFmtId="14" fontId="13" fillId="0" borderId="3" xfId="3" applyNumberFormat="1" applyFont="1" applyFill="1" applyBorder="1" applyAlignment="1" applyProtection="1">
      <alignment horizontal="right" vertical="center"/>
    </xf>
    <xf numFmtId="0" fontId="12" fillId="6" borderId="4" xfId="3" applyFont="1" applyFill="1" applyBorder="1" applyAlignment="1">
      <alignment horizontal="left" vertical="center" wrapText="1"/>
    </xf>
    <xf numFmtId="0" fontId="12" fillId="6" borderId="0" xfId="3" applyFont="1" applyFill="1" applyBorder="1" applyAlignment="1">
      <alignment horizontal="left" vertical="center" wrapText="1"/>
    </xf>
    <xf numFmtId="0" fontId="12" fillId="6" borderId="5" xfId="3" applyFont="1" applyFill="1" applyBorder="1" applyAlignment="1">
      <alignment horizontal="left" vertical="center" wrapText="1"/>
    </xf>
    <xf numFmtId="0" fontId="13" fillId="0" borderId="12" xfId="5" applyFill="1" applyBorder="1" applyAlignment="1">
      <alignment horizontal="left" vertical="center"/>
    </xf>
    <xf numFmtId="0" fontId="13" fillId="0" borderId="12" xfId="5" applyBorder="1" applyAlignment="1">
      <alignment horizontal="right" vertical="center"/>
    </xf>
    <xf numFmtId="0" fontId="13" fillId="0" borderId="13" xfId="5" applyFill="1" applyBorder="1" applyAlignment="1">
      <alignment horizontal="left" vertical="center"/>
    </xf>
    <xf numFmtId="14" fontId="57" fillId="0" borderId="23" xfId="1" applyNumberFormat="1" applyFont="1" applyFill="1" applyBorder="1" applyAlignment="1" applyProtection="1">
      <alignment horizontal="left" vertical="center"/>
    </xf>
    <xf numFmtId="14" fontId="57" fillId="0" borderId="94" xfId="1" applyNumberFormat="1" applyFont="1" applyFill="1" applyBorder="1" applyAlignment="1" applyProtection="1">
      <alignment horizontal="left" vertical="center"/>
    </xf>
    <xf numFmtId="0" fontId="13" fillId="0" borderId="23" xfId="3" applyFont="1" applyFill="1" applyBorder="1" applyAlignment="1">
      <alignment horizontal="right" vertical="center"/>
    </xf>
    <xf numFmtId="0" fontId="13" fillId="0" borderId="94" xfId="3" applyFont="1" applyFill="1" applyBorder="1" applyAlignment="1">
      <alignment horizontal="right" vertical="center"/>
    </xf>
    <xf numFmtId="0" fontId="3" fillId="0" borderId="1" xfId="3" applyFont="1" applyBorder="1" applyAlignment="1">
      <alignment horizontal="left" vertical="center" wrapText="1"/>
    </xf>
    <xf numFmtId="0" fontId="3" fillId="0" borderId="2" xfId="3" applyFont="1" applyBorder="1" applyAlignment="1">
      <alignment horizontal="left" vertical="center" wrapText="1"/>
    </xf>
    <xf numFmtId="0" fontId="3" fillId="0" borderId="3" xfId="3" applyFont="1" applyBorder="1" applyAlignment="1">
      <alignment horizontal="left" vertical="center" wrapText="1"/>
    </xf>
    <xf numFmtId="0" fontId="3" fillId="0" borderId="4" xfId="3" applyFont="1" applyBorder="1" applyAlignment="1">
      <alignment horizontal="left" vertical="center" wrapText="1"/>
    </xf>
    <xf numFmtId="0" fontId="3" fillId="0" borderId="0"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3" fillId="0" borderId="7" xfId="3" applyFont="1" applyBorder="1" applyAlignment="1">
      <alignment horizontal="left" vertical="center" wrapText="1"/>
    </xf>
    <xf numFmtId="0" fontId="3" fillId="0" borderId="8" xfId="3" applyFont="1" applyBorder="1" applyAlignment="1">
      <alignment horizontal="left" vertical="center" wrapText="1"/>
    </xf>
    <xf numFmtId="0" fontId="65" fillId="4" borderId="51" xfId="3" applyFont="1" applyFill="1" applyBorder="1" applyAlignment="1">
      <alignment horizontal="left" vertical="center"/>
    </xf>
    <xf numFmtId="0" fontId="65" fillId="4" borderId="52" xfId="3" applyFont="1" applyFill="1" applyBorder="1" applyAlignment="1">
      <alignment horizontal="left" vertical="center"/>
    </xf>
    <xf numFmtId="0" fontId="65" fillId="4" borderId="53" xfId="3" applyFont="1" applyFill="1" applyBorder="1" applyAlignment="1">
      <alignment horizontal="left" vertical="center"/>
    </xf>
    <xf numFmtId="0" fontId="65" fillId="4" borderId="60" xfId="3" applyFont="1" applyFill="1" applyBorder="1" applyAlignment="1">
      <alignment horizontal="left" vertical="center"/>
    </xf>
    <xf numFmtId="0" fontId="65" fillId="4" borderId="61" xfId="3" applyFont="1" applyFill="1" applyBorder="1" applyAlignment="1">
      <alignment horizontal="left" vertical="center"/>
    </xf>
    <xf numFmtId="0" fontId="65" fillId="4" borderId="76" xfId="3" applyFont="1" applyFill="1" applyBorder="1" applyAlignment="1">
      <alignment horizontal="left" vertical="center"/>
    </xf>
    <xf numFmtId="0" fontId="28" fillId="4" borderId="71" xfId="3" applyFont="1" applyFill="1" applyBorder="1" applyAlignment="1">
      <alignment horizontal="center" vertical="top"/>
    </xf>
    <xf numFmtId="0" fontId="28" fillId="4" borderId="72" xfId="3" applyFont="1" applyFill="1" applyBorder="1" applyAlignment="1">
      <alignment horizontal="center" vertical="top"/>
    </xf>
    <xf numFmtId="0" fontId="28" fillId="4" borderId="74" xfId="3" applyFont="1" applyFill="1" applyBorder="1" applyAlignment="1">
      <alignment horizontal="center" vertical="top"/>
    </xf>
    <xf numFmtId="0" fontId="30" fillId="0" borderId="2" xfId="5" applyFont="1" applyBorder="1" applyAlignment="1">
      <alignment horizontal="center" vertical="center"/>
    </xf>
    <xf numFmtId="0" fontId="30" fillId="0" borderId="3" xfId="5" applyFont="1" applyBorder="1" applyAlignment="1">
      <alignment horizontal="center" vertical="center"/>
    </xf>
    <xf numFmtId="0" fontId="30" fillId="0" borderId="4" xfId="5" applyFont="1" applyBorder="1" applyAlignment="1">
      <alignment horizontal="center" vertical="center"/>
    </xf>
    <xf numFmtId="0" fontId="30" fillId="0" borderId="0" xfId="5" applyFont="1" applyBorder="1" applyAlignment="1">
      <alignment horizontal="center" vertical="center"/>
    </xf>
    <xf numFmtId="0" fontId="30" fillId="0" borderId="5" xfId="5" applyFont="1" applyBorder="1" applyAlignment="1">
      <alignment horizontal="center" vertical="center"/>
    </xf>
    <xf numFmtId="0" fontId="30" fillId="0" borderId="6" xfId="5" applyFont="1" applyBorder="1" applyAlignment="1">
      <alignment horizontal="center" vertical="center"/>
    </xf>
    <xf numFmtId="0" fontId="30" fillId="0" borderId="7" xfId="5" applyFont="1" applyBorder="1" applyAlignment="1">
      <alignment horizontal="center" vertical="center"/>
    </xf>
    <xf numFmtId="0" fontId="30" fillId="0" borderId="8" xfId="5" applyFont="1" applyBorder="1" applyAlignment="1">
      <alignment horizontal="center" vertical="center"/>
    </xf>
    <xf numFmtId="0" fontId="28" fillId="0" borderId="1" xfId="3" applyFont="1" applyBorder="1" applyAlignment="1">
      <alignment horizontal="center" vertical="center" textRotation="90" wrapText="1"/>
    </xf>
    <xf numFmtId="0" fontId="28" fillId="0" borderId="81" xfId="3" applyFont="1" applyBorder="1" applyAlignment="1">
      <alignment horizontal="center" vertical="center" textRotation="90" wrapText="1"/>
    </xf>
    <xf numFmtId="0" fontId="28" fillId="0" borderId="4" xfId="3" applyFont="1" applyBorder="1" applyAlignment="1">
      <alignment horizontal="center" vertical="center" textRotation="90" wrapText="1"/>
    </xf>
    <xf numFmtId="0" fontId="28" fillId="0" borderId="70" xfId="3" applyFont="1" applyBorder="1" applyAlignment="1">
      <alignment horizontal="center" vertical="center" textRotation="90" wrapText="1"/>
    </xf>
    <xf numFmtId="0" fontId="28" fillId="0" borderId="0" xfId="3" applyFont="1" applyBorder="1" applyAlignment="1">
      <alignment horizontal="center" vertical="center" textRotation="90" wrapText="1"/>
    </xf>
    <xf numFmtId="174" fontId="28" fillId="7" borderId="186" xfId="3" applyNumberFormat="1" applyFont="1" applyFill="1" applyBorder="1" applyAlignment="1">
      <alignment horizontal="center" vertical="center"/>
    </xf>
    <xf numFmtId="174" fontId="28" fillId="7" borderId="12" xfId="3" applyNumberFormat="1" applyFont="1" applyFill="1" applyBorder="1" applyAlignment="1">
      <alignment horizontal="center" vertical="center"/>
    </xf>
    <xf numFmtId="164" fontId="11" fillId="7" borderId="187" xfId="3" applyNumberFormat="1" applyFont="1" applyFill="1" applyBorder="1" applyAlignment="1">
      <alignment horizontal="center" vertical="center"/>
    </xf>
    <xf numFmtId="164" fontId="11" fillId="7" borderId="13" xfId="3" applyNumberFormat="1" applyFont="1" applyFill="1" applyBorder="1" applyAlignment="1">
      <alignment horizontal="center" vertical="center"/>
    </xf>
    <xf numFmtId="0" fontId="3" fillId="0" borderId="11" xfId="3" applyFont="1" applyFill="1" applyBorder="1" applyAlignment="1">
      <alignment horizontal="center" vertical="center"/>
    </xf>
    <xf numFmtId="0" fontId="11" fillId="0" borderId="12" xfId="3" applyFont="1" applyFill="1" applyBorder="1" applyAlignment="1">
      <alignment horizontal="center" vertical="center"/>
    </xf>
    <xf numFmtId="164" fontId="11" fillId="7" borderId="12" xfId="3" applyNumberFormat="1" applyFont="1" applyFill="1" applyBorder="1" applyAlignment="1">
      <alignment horizontal="center" vertical="center"/>
    </xf>
    <xf numFmtId="164" fontId="11" fillId="7" borderId="188" xfId="3" applyNumberFormat="1" applyFont="1" applyFill="1" applyBorder="1" applyAlignment="1">
      <alignment horizontal="center" vertical="center"/>
    </xf>
    <xf numFmtId="0" fontId="55" fillId="0" borderId="4" xfId="3" applyFont="1" applyBorder="1" applyAlignment="1">
      <alignment horizontal="center" vertical="top"/>
    </xf>
    <xf numFmtId="0" fontId="55" fillId="0" borderId="0" xfId="3" applyFont="1" applyBorder="1" applyAlignment="1">
      <alignment horizontal="center" vertical="top"/>
    </xf>
    <xf numFmtId="1" fontId="11" fillId="7" borderId="32" xfId="3" applyNumberFormat="1" applyFont="1" applyFill="1" applyBorder="1" applyAlignment="1">
      <alignment horizontal="center" vertical="center"/>
    </xf>
    <xf numFmtId="1" fontId="11" fillId="7" borderId="33" xfId="3" applyNumberFormat="1" applyFont="1" applyFill="1" applyBorder="1" applyAlignment="1">
      <alignment horizontal="center" vertical="center"/>
    </xf>
    <xf numFmtId="1" fontId="11" fillId="7" borderId="68" xfId="3" applyNumberFormat="1" applyFont="1" applyFill="1" applyBorder="1" applyAlignment="1">
      <alignment horizontal="center" vertical="center"/>
    </xf>
    <xf numFmtId="1" fontId="11" fillId="7" borderId="110" xfId="3" applyNumberFormat="1" applyFont="1" applyFill="1" applyBorder="1" applyAlignment="1">
      <alignment horizontal="center" vertical="center"/>
    </xf>
    <xf numFmtId="164" fontId="11" fillId="7" borderId="39" xfId="3" applyNumberFormat="1" applyFont="1" applyFill="1" applyBorder="1" applyAlignment="1">
      <alignment horizontal="center" vertical="center"/>
    </xf>
    <xf numFmtId="164" fontId="11" fillId="7" borderId="110" xfId="3" applyNumberFormat="1" applyFont="1" applyFill="1" applyBorder="1" applyAlignment="1">
      <alignment horizontal="center" vertical="center"/>
    </xf>
    <xf numFmtId="171" fontId="61" fillId="7" borderId="39" xfId="3" applyNumberFormat="1" applyFont="1" applyFill="1" applyBorder="1" applyAlignment="1">
      <alignment horizontal="center" vertical="center"/>
    </xf>
    <xf numFmtId="171" fontId="61" fillId="7" borderId="33" xfId="3" applyNumberFormat="1" applyFont="1" applyFill="1" applyBorder="1" applyAlignment="1">
      <alignment horizontal="center" vertical="center"/>
    </xf>
    <xf numFmtId="171" fontId="61" fillId="7" borderId="110" xfId="3" applyNumberFormat="1" applyFont="1" applyFill="1" applyBorder="1" applyAlignment="1">
      <alignment horizontal="center" vertical="center"/>
    </xf>
    <xf numFmtId="1" fontId="11" fillId="7" borderId="39" xfId="3" applyNumberFormat="1" applyFont="1" applyFill="1" applyBorder="1" applyAlignment="1">
      <alignment horizontal="center" vertical="center"/>
    </xf>
    <xf numFmtId="4" fontId="11" fillId="0" borderId="42" xfId="3" applyNumberFormat="1" applyFont="1" applyBorder="1" applyAlignment="1">
      <alignment horizontal="center" vertical="center"/>
    </xf>
    <xf numFmtId="4" fontId="11" fillId="0" borderId="43" xfId="3" applyNumberFormat="1" applyFont="1" applyBorder="1" applyAlignment="1">
      <alignment horizontal="center" vertical="center"/>
    </xf>
    <xf numFmtId="4" fontId="11" fillId="0" borderId="45" xfId="3" applyNumberFormat="1" applyFont="1" applyBorder="1" applyAlignment="1">
      <alignment horizontal="center" vertical="center"/>
    </xf>
    <xf numFmtId="4" fontId="11" fillId="0" borderId="44" xfId="3" applyNumberFormat="1" applyFont="1" applyBorder="1" applyAlignment="1">
      <alignment horizontal="center" vertical="center"/>
    </xf>
    <xf numFmtId="4" fontId="11" fillId="0" borderId="93" xfId="3" applyNumberFormat="1" applyFont="1" applyBorder="1" applyAlignment="1">
      <alignment horizontal="center" vertical="center"/>
    </xf>
    <xf numFmtId="4" fontId="11" fillId="0" borderId="50" xfId="3" applyNumberFormat="1" applyFont="1" applyBorder="1" applyAlignment="1">
      <alignment horizontal="center" vertical="center"/>
    </xf>
    <xf numFmtId="0" fontId="28" fillId="0" borderId="125" xfId="3" applyFont="1" applyBorder="1" applyAlignment="1">
      <alignment horizontal="right" vertical="center"/>
    </xf>
    <xf numFmtId="0" fontId="28" fillId="0" borderId="17" xfId="3" applyFont="1" applyBorder="1" applyAlignment="1">
      <alignment horizontal="right" vertical="center"/>
    </xf>
    <xf numFmtId="0" fontId="28" fillId="0" borderId="56" xfId="3" applyFont="1" applyBorder="1" applyAlignment="1">
      <alignment horizontal="right" vertical="center"/>
    </xf>
    <xf numFmtId="0" fontId="28" fillId="0" borderId="7" xfId="3" applyFont="1" applyBorder="1" applyAlignment="1">
      <alignment horizontal="right" vertical="center"/>
    </xf>
    <xf numFmtId="171" fontId="28" fillId="0" borderId="31" xfId="3" applyNumberFormat="1" applyFont="1" applyBorder="1" applyAlignment="1">
      <alignment horizontal="center" vertical="center"/>
    </xf>
    <xf numFmtId="171" fontId="28" fillId="0" borderId="169" xfId="3" applyNumberFormat="1" applyFont="1" applyBorder="1" applyAlignment="1">
      <alignment horizontal="center" vertical="center"/>
    </xf>
    <xf numFmtId="1" fontId="52" fillId="0" borderId="17" xfId="3" applyNumberFormat="1" applyFont="1" applyBorder="1" applyAlignment="1">
      <alignment horizontal="right" vertical="center" indent="1"/>
    </xf>
    <xf numFmtId="1" fontId="52" fillId="0" borderId="18" xfId="3" applyNumberFormat="1" applyFont="1" applyBorder="1" applyAlignment="1">
      <alignment horizontal="right" vertical="center" indent="1"/>
    </xf>
    <xf numFmtId="1" fontId="52" fillId="0" borderId="7" xfId="3" applyNumberFormat="1" applyFont="1" applyBorder="1" applyAlignment="1">
      <alignment horizontal="right" vertical="center" indent="1"/>
    </xf>
    <xf numFmtId="1" fontId="52" fillId="0" borderId="8" xfId="3" applyNumberFormat="1" applyFont="1" applyBorder="1" applyAlignment="1">
      <alignment horizontal="right" vertical="center" indent="1"/>
    </xf>
    <xf numFmtId="4" fontId="52" fillId="0" borderId="17" xfId="3" applyNumberFormat="1" applyFont="1" applyBorder="1" applyAlignment="1">
      <alignment horizontal="center" vertical="center"/>
    </xf>
    <xf numFmtId="4" fontId="52" fillId="0" borderId="105" xfId="3" applyNumberFormat="1" applyFont="1" applyBorder="1" applyAlignment="1">
      <alignment horizontal="center" vertical="center"/>
    </xf>
    <xf numFmtId="4" fontId="52" fillId="0" borderId="7" xfId="3" applyNumberFormat="1" applyFont="1" applyBorder="1" applyAlignment="1">
      <alignment horizontal="center" vertical="center"/>
    </xf>
    <xf numFmtId="4" fontId="52" fillId="0" borderId="49" xfId="3" applyNumberFormat="1" applyFont="1" applyBorder="1" applyAlignment="1">
      <alignment horizontal="center" vertical="center"/>
    </xf>
    <xf numFmtId="4" fontId="28" fillId="0" borderId="29" xfId="3" applyNumberFormat="1" applyFont="1" applyBorder="1" applyAlignment="1">
      <alignment horizontal="center" vertical="center"/>
    </xf>
    <xf numFmtId="0" fontId="12" fillId="6" borderId="4" xfId="3" applyFont="1" applyFill="1" applyBorder="1" applyAlignment="1">
      <alignment horizontal="left" wrapText="1"/>
    </xf>
    <xf numFmtId="0" fontId="12" fillId="6" borderId="0" xfId="3" applyFont="1" applyFill="1" applyBorder="1" applyAlignment="1">
      <alignment horizontal="left" wrapText="1"/>
    </xf>
    <xf numFmtId="0" fontId="12" fillId="6" borderId="5" xfId="3" applyFont="1" applyFill="1" applyBorder="1" applyAlignment="1">
      <alignment horizontal="left" wrapText="1"/>
    </xf>
    <xf numFmtId="0" fontId="28" fillId="0" borderId="75" xfId="3" applyFont="1" applyBorder="1" applyAlignment="1">
      <alignment horizontal="left" vertical="center"/>
    </xf>
    <xf numFmtId="0" fontId="28" fillId="0" borderId="0" xfId="3" applyFont="1" applyBorder="1" applyAlignment="1">
      <alignment horizontal="left" vertical="center"/>
    </xf>
    <xf numFmtId="0" fontId="28" fillId="0" borderId="4" xfId="3" applyFont="1" applyBorder="1" applyAlignment="1">
      <alignment horizontal="center" vertical="center"/>
    </xf>
    <xf numFmtId="0" fontId="28" fillId="0" borderId="0" xfId="3" applyFont="1" applyBorder="1" applyAlignment="1">
      <alignment horizontal="center" vertical="center"/>
    </xf>
    <xf numFmtId="0" fontId="28" fillId="0" borderId="24" xfId="3" applyFont="1" applyBorder="1" applyAlignment="1">
      <alignment horizontal="center" vertical="center"/>
    </xf>
    <xf numFmtId="0" fontId="55" fillId="0" borderId="162" xfId="3" applyFont="1" applyBorder="1" applyAlignment="1">
      <alignment horizontal="center" vertical="center"/>
    </xf>
    <xf numFmtId="0" fontId="55" fillId="0" borderId="18" xfId="3" applyFont="1" applyBorder="1" applyAlignment="1">
      <alignment horizontal="center" vertical="center"/>
    </xf>
    <xf numFmtId="0" fontId="55" fillId="0" borderId="2" xfId="3" applyFont="1" applyBorder="1" applyAlignment="1">
      <alignment horizontal="center" vertical="center"/>
    </xf>
    <xf numFmtId="0" fontId="55" fillId="0" borderId="2" xfId="3" applyFont="1" applyBorder="1" applyAlignment="1">
      <alignment horizontal="center" vertical="top"/>
    </xf>
    <xf numFmtId="0" fontId="28" fillId="0" borderId="1" xfId="3" applyFont="1" applyBorder="1" applyAlignment="1">
      <alignment horizontal="center" vertical="center"/>
    </xf>
    <xf numFmtId="0" fontId="28" fillId="0" borderId="2" xfId="3" applyFont="1" applyBorder="1" applyAlignment="1">
      <alignment horizontal="center" vertical="center"/>
    </xf>
    <xf numFmtId="0" fontId="28" fillId="0" borderId="48" xfId="3" applyFont="1" applyBorder="1" applyAlignment="1">
      <alignment horizontal="center" vertical="center"/>
    </xf>
    <xf numFmtId="0" fontId="28" fillId="0" borderId="149" xfId="3" applyFont="1" applyBorder="1" applyAlignment="1">
      <alignment horizontal="center" vertical="center"/>
    </xf>
    <xf numFmtId="0" fontId="28" fillId="0" borderId="5" xfId="3" applyFont="1" applyBorder="1" applyAlignment="1">
      <alignment horizontal="center" vertical="center"/>
    </xf>
    <xf numFmtId="1" fontId="11" fillId="0" borderId="33" xfId="3" applyNumberFormat="1" applyFont="1" applyBorder="1" applyAlignment="1">
      <alignment horizontal="center" vertical="center"/>
    </xf>
    <xf numFmtId="0" fontId="11" fillId="0" borderId="33" xfId="3" applyFont="1" applyBorder="1" applyAlignment="1">
      <alignment horizontal="center" vertical="center"/>
    </xf>
    <xf numFmtId="1" fontId="11" fillId="0" borderId="32" xfId="3" applyNumberFormat="1" applyFont="1" applyBorder="1" applyAlignment="1">
      <alignment horizontal="center" vertical="center"/>
    </xf>
    <xf numFmtId="0" fontId="28" fillId="0" borderId="75" xfId="3" applyFont="1" applyFill="1" applyBorder="1" applyAlignment="1">
      <alignment horizontal="left" vertical="center"/>
    </xf>
    <xf numFmtId="0" fontId="28" fillId="0" borderId="0" xfId="3" applyFont="1" applyFill="1" applyBorder="1" applyAlignment="1">
      <alignment horizontal="left" vertical="center"/>
    </xf>
    <xf numFmtId="0" fontId="28" fillId="7" borderId="120" xfId="3" applyFont="1" applyFill="1" applyBorder="1" applyAlignment="1">
      <alignment horizontal="left" vertical="center"/>
    </xf>
    <xf numFmtId="0" fontId="28" fillId="7" borderId="85" xfId="3" applyFont="1" applyFill="1" applyBorder="1" applyAlignment="1">
      <alignment horizontal="left" vertical="center"/>
    </xf>
    <xf numFmtId="0" fontId="11" fillId="0" borderId="119" xfId="3" applyFont="1" applyBorder="1" applyAlignment="1">
      <alignment horizontal="center" vertical="center"/>
    </xf>
    <xf numFmtId="0" fontId="11" fillId="0" borderId="43" xfId="3" applyFont="1" applyBorder="1" applyAlignment="1">
      <alignment horizontal="center" vertical="center"/>
    </xf>
    <xf numFmtId="164" fontId="11" fillId="0" borderId="89" xfId="3" applyNumberFormat="1" applyFont="1" applyFill="1" applyBorder="1" applyAlignment="1">
      <alignment horizontal="center" vertical="center"/>
    </xf>
    <xf numFmtId="164" fontId="11" fillId="0" borderId="90" xfId="3" applyNumberFormat="1" applyFont="1" applyFill="1" applyBorder="1" applyAlignment="1">
      <alignment horizontal="center" vertical="center"/>
    </xf>
    <xf numFmtId="171" fontId="61" fillId="0" borderId="89" xfId="3" applyNumberFormat="1" applyFont="1" applyFill="1" applyBorder="1" applyAlignment="1">
      <alignment horizontal="center" vertical="center"/>
    </xf>
    <xf numFmtId="171" fontId="61" fillId="0" borderId="85" xfId="3" applyNumberFormat="1" applyFont="1" applyFill="1" applyBorder="1" applyAlignment="1">
      <alignment horizontal="center" vertical="center"/>
    </xf>
    <xf numFmtId="171" fontId="61" fillId="0" borderId="90" xfId="3" applyNumberFormat="1" applyFont="1" applyFill="1" applyBorder="1" applyAlignment="1">
      <alignment horizontal="center" vertical="center"/>
    </xf>
    <xf numFmtId="1" fontId="11" fillId="0" borderId="89" xfId="3" applyNumberFormat="1" applyFont="1" applyFill="1" applyBorder="1" applyAlignment="1">
      <alignment horizontal="center" vertical="center"/>
    </xf>
    <xf numFmtId="1" fontId="11" fillId="0" borderId="85" xfId="3" applyNumberFormat="1" applyFont="1" applyFill="1" applyBorder="1" applyAlignment="1">
      <alignment horizontal="center" vertical="center"/>
    </xf>
    <xf numFmtId="4" fontId="11" fillId="0" borderId="14" xfId="3" applyNumberFormat="1" applyFont="1" applyFill="1" applyBorder="1" applyAlignment="1">
      <alignment horizontal="center" vertical="center"/>
    </xf>
    <xf numFmtId="4" fontId="11" fillId="0" borderId="15" xfId="3" applyNumberFormat="1" applyFont="1" applyFill="1" applyBorder="1" applyAlignment="1">
      <alignment horizontal="center" vertical="center"/>
    </xf>
    <xf numFmtId="4" fontId="11" fillId="0" borderId="163" xfId="3" applyNumberFormat="1" applyFont="1" applyFill="1" applyBorder="1" applyAlignment="1">
      <alignment horizontal="center" vertical="center"/>
    </xf>
    <xf numFmtId="4" fontId="11" fillId="0" borderId="166" xfId="3" applyNumberFormat="1" applyFont="1" applyFill="1" applyBorder="1" applyAlignment="1">
      <alignment horizontal="center" vertical="center"/>
    </xf>
    <xf numFmtId="4" fontId="11" fillId="0" borderId="167" xfId="3" applyNumberFormat="1" applyFont="1" applyFill="1" applyBorder="1" applyAlignment="1">
      <alignment horizontal="center" vertical="center"/>
    </xf>
    <xf numFmtId="4" fontId="28" fillId="0" borderId="143" xfId="3" applyNumberFormat="1" applyFont="1" applyBorder="1" applyAlignment="1">
      <alignment horizontal="center" vertical="center"/>
    </xf>
    <xf numFmtId="4" fontId="28" fillId="0" borderId="160" xfId="3" applyNumberFormat="1" applyFont="1" applyBorder="1" applyAlignment="1">
      <alignment horizontal="center" vertical="center"/>
    </xf>
    <xf numFmtId="4" fontId="11" fillId="0" borderId="16" xfId="3" applyNumberFormat="1" applyFont="1" applyFill="1" applyBorder="1" applyAlignment="1">
      <alignment horizontal="center" vertical="center"/>
    </xf>
    <xf numFmtId="1" fontId="11" fillId="0" borderId="36" xfId="3" applyNumberFormat="1" applyFont="1" applyFill="1" applyBorder="1" applyAlignment="1">
      <alignment horizontal="center" vertical="center"/>
    </xf>
    <xf numFmtId="1" fontId="11" fillId="0" borderId="23" xfId="3" applyNumberFormat="1" applyFont="1" applyFill="1" applyBorder="1" applyAlignment="1">
      <alignment horizontal="center" vertical="center"/>
    </xf>
    <xf numFmtId="4" fontId="28" fillId="0" borderId="161" xfId="3" applyNumberFormat="1" applyFont="1" applyBorder="1" applyAlignment="1">
      <alignment horizontal="center" vertical="center"/>
    </xf>
    <xf numFmtId="164" fontId="28" fillId="0" borderId="38" xfId="3" applyNumberFormat="1" applyFont="1" applyBorder="1" applyAlignment="1">
      <alignment horizontal="center" vertical="center"/>
    </xf>
    <xf numFmtId="164" fontId="28" fillId="0" borderId="159" xfId="3" applyNumberFormat="1" applyFont="1" applyBorder="1" applyAlignment="1">
      <alignment horizontal="center" vertical="center"/>
    </xf>
    <xf numFmtId="164" fontId="28" fillId="7" borderId="168" xfId="3" applyNumberFormat="1" applyFont="1" applyFill="1" applyBorder="1" applyAlignment="1">
      <alignment horizontal="center" vertical="center"/>
    </xf>
    <xf numFmtId="164" fontId="28" fillId="7" borderId="9" xfId="3" applyNumberFormat="1" applyFont="1" applyFill="1" applyBorder="1" applyAlignment="1">
      <alignment horizontal="center" vertical="center"/>
    </xf>
    <xf numFmtId="164" fontId="28" fillId="7" borderId="164" xfId="3" applyNumberFormat="1" applyFont="1" applyFill="1" applyBorder="1" applyAlignment="1">
      <alignment horizontal="center" vertical="center"/>
    </xf>
    <xf numFmtId="164" fontId="28" fillId="7" borderId="10" xfId="3" applyNumberFormat="1" applyFont="1" applyFill="1" applyBorder="1" applyAlignment="1">
      <alignment horizontal="center" vertical="center"/>
    </xf>
    <xf numFmtId="164" fontId="28" fillId="0" borderId="112" xfId="3" applyNumberFormat="1" applyFont="1" applyBorder="1" applyAlignment="1">
      <alignment horizontal="center" vertical="center"/>
    </xf>
    <xf numFmtId="164" fontId="28" fillId="7" borderId="82" xfId="3" applyNumberFormat="1" applyFont="1" applyFill="1" applyBorder="1" applyAlignment="1">
      <alignment horizontal="center" vertical="center"/>
    </xf>
    <xf numFmtId="164" fontId="28" fillId="7" borderId="7" xfId="3" applyNumberFormat="1" applyFont="1" applyFill="1" applyBorder="1" applyAlignment="1">
      <alignment horizontal="center" vertical="center"/>
    </xf>
    <xf numFmtId="164" fontId="28" fillId="7" borderId="87" xfId="3" applyNumberFormat="1" applyFont="1" applyFill="1" applyBorder="1" applyAlignment="1">
      <alignment horizontal="center" vertical="center"/>
    </xf>
    <xf numFmtId="164" fontId="28" fillId="7" borderId="8" xfId="3" applyNumberFormat="1" applyFont="1" applyFill="1" applyBorder="1" applyAlignment="1">
      <alignment horizontal="center" vertical="center"/>
    </xf>
    <xf numFmtId="0" fontId="28" fillId="0" borderId="17" xfId="3" applyFont="1" applyBorder="1" applyAlignment="1">
      <alignment horizontal="center" vertical="center"/>
    </xf>
    <xf numFmtId="0" fontId="28" fillId="0" borderId="7" xfId="3" applyFont="1" applyBorder="1" applyAlignment="1">
      <alignment horizontal="center" vertical="center"/>
    </xf>
    <xf numFmtId="171" fontId="28" fillId="0" borderId="147" xfId="3" applyNumberFormat="1" applyFont="1" applyBorder="1" applyAlignment="1">
      <alignment horizontal="center" vertical="center"/>
    </xf>
    <xf numFmtId="1" fontId="52" fillId="0" borderId="125" xfId="3" applyNumberFormat="1" applyFont="1" applyBorder="1" applyAlignment="1">
      <alignment horizontal="center" vertical="center"/>
    </xf>
    <xf numFmtId="1" fontId="52" fillId="0" borderId="18" xfId="3" applyNumberFormat="1" applyFont="1" applyBorder="1" applyAlignment="1">
      <alignment horizontal="center" vertical="center"/>
    </xf>
    <xf numFmtId="1" fontId="52" fillId="0" borderId="56" xfId="3" applyNumberFormat="1" applyFont="1" applyBorder="1" applyAlignment="1">
      <alignment horizontal="center" vertical="center"/>
    </xf>
    <xf numFmtId="1" fontId="52" fillId="0" borderId="8" xfId="3" applyNumberFormat="1" applyFont="1" applyBorder="1" applyAlignment="1">
      <alignment horizontal="center" vertical="center"/>
    </xf>
    <xf numFmtId="0" fontId="9" fillId="6" borderId="180" xfId="3" applyFont="1" applyFill="1" applyBorder="1" applyAlignment="1">
      <alignment horizontal="center" vertical="center" textRotation="90"/>
    </xf>
    <xf numFmtId="0" fontId="11" fillId="6" borderId="181" xfId="3" applyFont="1" applyFill="1" applyBorder="1" applyAlignment="1">
      <alignment horizontal="center" vertical="center" textRotation="90"/>
    </xf>
    <xf numFmtId="0" fontId="11" fillId="6" borderId="208" xfId="3" applyFont="1" applyFill="1" applyBorder="1" applyAlignment="1">
      <alignment horizontal="center" vertical="center" textRotation="90"/>
    </xf>
    <xf numFmtId="0" fontId="3" fillId="0" borderId="108" xfId="3" applyFont="1" applyBorder="1" applyAlignment="1">
      <alignment horizontal="center" vertical="center"/>
    </xf>
    <xf numFmtId="0" fontId="11" fillId="0" borderId="22" xfId="3" applyFont="1" applyBorder="1" applyAlignment="1">
      <alignment horizontal="center" vertical="center"/>
    </xf>
    <xf numFmtId="0" fontId="28" fillId="6" borderId="77" xfId="3" applyFont="1" applyFill="1" applyBorder="1" applyAlignment="1">
      <alignment horizontal="center" vertical="center"/>
    </xf>
    <xf numFmtId="0" fontId="28" fillId="6" borderId="97" xfId="3" applyFont="1" applyFill="1" applyBorder="1" applyAlignment="1">
      <alignment horizontal="center" vertical="center"/>
    </xf>
    <xf numFmtId="0" fontId="28" fillId="6" borderId="78" xfId="3" applyFont="1" applyFill="1" applyBorder="1" applyAlignment="1">
      <alignment horizontal="center" vertical="center"/>
    </xf>
    <xf numFmtId="4" fontId="28" fillId="4" borderId="51" xfId="3" applyNumberFormat="1" applyFont="1" applyFill="1" applyBorder="1" applyAlignment="1">
      <alignment horizontal="center"/>
    </xf>
    <xf numFmtId="0" fontId="28" fillId="4" borderId="52" xfId="3" applyFont="1" applyFill="1" applyBorder="1" applyAlignment="1">
      <alignment horizontal="center"/>
    </xf>
    <xf numFmtId="0" fontId="28" fillId="4" borderId="53" xfId="3" applyFont="1" applyFill="1" applyBorder="1" applyAlignment="1">
      <alignment horizontal="center"/>
    </xf>
    <xf numFmtId="4" fontId="28" fillId="4" borderId="52" xfId="3" applyNumberFormat="1" applyFont="1" applyFill="1" applyBorder="1" applyAlignment="1">
      <alignment horizontal="center"/>
    </xf>
    <xf numFmtId="0" fontId="28" fillId="4" borderId="145" xfId="3" applyFont="1" applyFill="1" applyBorder="1" applyAlignment="1">
      <alignment horizontal="center"/>
    </xf>
    <xf numFmtId="0" fontId="28" fillId="4" borderId="151" xfId="3" applyFont="1" applyFill="1" applyBorder="1" applyAlignment="1">
      <alignment horizontal="center"/>
    </xf>
    <xf numFmtId="3" fontId="28" fillId="4" borderId="119" xfId="3" applyNumberFormat="1" applyFont="1" applyFill="1" applyBorder="1" applyAlignment="1">
      <alignment horizontal="center" vertical="center"/>
    </xf>
    <xf numFmtId="3" fontId="28" fillId="4" borderId="50" xfId="3" applyNumberFormat="1" applyFont="1" applyFill="1" applyBorder="1" applyAlignment="1">
      <alignment horizontal="center" vertical="center"/>
    </xf>
    <xf numFmtId="4" fontId="28" fillId="6" borderId="14" xfId="3" applyNumberFormat="1" applyFont="1" applyFill="1" applyBorder="1" applyAlignment="1">
      <alignment horizontal="center" vertical="center"/>
    </xf>
    <xf numFmtId="4" fontId="28" fillId="6" borderId="15" xfId="3" applyNumberFormat="1" applyFont="1" applyFill="1" applyBorder="1" applyAlignment="1">
      <alignment horizontal="center" vertical="center"/>
    </xf>
    <xf numFmtId="4" fontId="28" fillId="6" borderId="16" xfId="3" applyNumberFormat="1" applyFont="1" applyFill="1" applyBorder="1" applyAlignment="1">
      <alignment horizontal="center" vertical="center"/>
    </xf>
    <xf numFmtId="4" fontId="28" fillId="6" borderId="115" xfId="3" applyNumberFormat="1" applyFont="1" applyFill="1" applyBorder="1" applyAlignment="1">
      <alignment horizontal="center" vertical="center"/>
    </xf>
    <xf numFmtId="0" fontId="28" fillId="10" borderId="116" xfId="3" applyFont="1" applyFill="1" applyBorder="1" applyAlignment="1">
      <alignment horizontal="center"/>
    </xf>
    <xf numFmtId="0" fontId="28" fillId="10" borderId="46" xfId="3" applyFont="1" applyFill="1" applyBorder="1" applyAlignment="1">
      <alignment horizontal="center"/>
    </xf>
    <xf numFmtId="0" fontId="28" fillId="10" borderId="201" xfId="3" applyFont="1" applyFill="1" applyBorder="1" applyAlignment="1">
      <alignment horizontal="center"/>
    </xf>
    <xf numFmtId="0" fontId="28" fillId="10" borderId="167" xfId="3" applyFont="1" applyFill="1" applyBorder="1" applyAlignment="1">
      <alignment horizontal="center"/>
    </xf>
    <xf numFmtId="0" fontId="28" fillId="10" borderId="170" xfId="3" applyFont="1" applyFill="1" applyBorder="1" applyAlignment="1">
      <alignment horizontal="center"/>
    </xf>
    <xf numFmtId="0" fontId="28" fillId="10" borderId="166" xfId="3" applyFont="1" applyFill="1" applyBorder="1" applyAlignment="1">
      <alignment horizontal="center"/>
    </xf>
    <xf numFmtId="0" fontId="3" fillId="10" borderId="170" xfId="3" applyFont="1" applyFill="1" applyBorder="1" applyAlignment="1">
      <alignment horizontal="center" vertical="center"/>
    </xf>
    <xf numFmtId="0" fontId="11" fillId="10" borderId="176" xfId="3" applyFont="1" applyFill="1" applyBorder="1" applyAlignment="1">
      <alignment horizontal="center" vertical="center"/>
    </xf>
    <xf numFmtId="4" fontId="4" fillId="10" borderId="178" xfId="3" applyNumberFormat="1" applyFont="1" applyFill="1" applyBorder="1" applyAlignment="1">
      <alignment horizontal="center" vertical="center"/>
    </xf>
    <xf numFmtId="4" fontId="4" fillId="10" borderId="94" xfId="3" applyNumberFormat="1" applyFont="1" applyFill="1" applyBorder="1" applyAlignment="1">
      <alignment horizontal="center" vertical="center"/>
    </xf>
    <xf numFmtId="4" fontId="78" fillId="4" borderId="6" xfId="3" applyNumberFormat="1" applyFont="1" applyFill="1" applyBorder="1" applyAlignment="1">
      <alignment horizontal="center" vertical="center"/>
    </xf>
    <xf numFmtId="4" fontId="78" fillId="4" borderId="7" xfId="3" applyNumberFormat="1" applyFont="1" applyFill="1" applyBorder="1" applyAlignment="1">
      <alignment horizontal="center" vertical="center"/>
    </xf>
    <xf numFmtId="4" fontId="78" fillId="4" borderId="8" xfId="3" applyNumberFormat="1" applyFont="1" applyFill="1" applyBorder="1" applyAlignment="1">
      <alignment horizontal="center" vertical="center"/>
    </xf>
    <xf numFmtId="4" fontId="78" fillId="4" borderId="57" xfId="3" applyNumberFormat="1" applyFont="1" applyFill="1" applyBorder="1" applyAlignment="1">
      <alignment horizontal="center" vertical="center"/>
    </xf>
    <xf numFmtId="4" fontId="71" fillId="4" borderId="77" xfId="3" applyNumberFormat="1" applyFont="1" applyFill="1" applyBorder="1" applyAlignment="1">
      <alignment horizontal="center"/>
    </xf>
    <xf numFmtId="0" fontId="71" fillId="4" borderId="97" xfId="3" applyFont="1" applyFill="1" applyBorder="1" applyAlignment="1">
      <alignment horizontal="center"/>
    </xf>
    <xf numFmtId="0" fontId="71" fillId="4" borderId="78" xfId="3" applyFont="1" applyFill="1" applyBorder="1" applyAlignment="1">
      <alignment horizontal="center"/>
    </xf>
    <xf numFmtId="4" fontId="78" fillId="4" borderId="88" xfId="3" applyNumberFormat="1" applyFont="1" applyFill="1" applyBorder="1" applyAlignment="1">
      <alignment horizontal="right" indent="1"/>
    </xf>
    <xf numFmtId="4" fontId="78" fillId="4" borderId="165" xfId="3" applyNumberFormat="1" applyFont="1" applyFill="1" applyBorder="1" applyAlignment="1">
      <alignment horizontal="right" indent="1"/>
    </xf>
    <xf numFmtId="4" fontId="78" fillId="4" borderId="87" xfId="3" applyNumberFormat="1" applyFont="1" applyFill="1" applyBorder="1" applyAlignment="1">
      <alignment horizontal="right" indent="1"/>
    </xf>
    <xf numFmtId="1" fontId="78" fillId="4" borderId="165" xfId="3" applyNumberFormat="1" applyFont="1" applyFill="1" applyBorder="1" applyAlignment="1">
      <alignment horizontal="center" vertical="center"/>
    </xf>
    <xf numFmtId="1" fontId="78" fillId="4" borderId="185" xfId="3" applyNumberFormat="1" applyFont="1" applyFill="1" applyBorder="1" applyAlignment="1">
      <alignment horizontal="center" vertical="center"/>
    </xf>
    <xf numFmtId="3" fontId="78" fillId="4" borderId="142" xfId="3" applyNumberFormat="1" applyFont="1" applyFill="1" applyBorder="1" applyAlignment="1">
      <alignment horizontal="center" vertical="center"/>
    </xf>
    <xf numFmtId="3" fontId="78" fillId="4" borderId="161" xfId="3" applyNumberFormat="1" applyFont="1" applyFill="1" applyBorder="1" applyAlignment="1">
      <alignment horizontal="center" vertical="center"/>
    </xf>
    <xf numFmtId="4" fontId="11" fillId="0" borderId="4" xfId="3" applyNumberFormat="1" applyFont="1" applyBorder="1" applyAlignment="1">
      <alignment horizontal="center" vertical="center"/>
    </xf>
    <xf numFmtId="4" fontId="11" fillId="0" borderId="0" xfId="3" applyNumberFormat="1" applyFont="1" applyBorder="1" applyAlignment="1">
      <alignment horizontal="center" vertical="center"/>
    </xf>
    <xf numFmtId="4" fontId="11" fillId="0" borderId="5" xfId="3" applyNumberFormat="1" applyFont="1" applyBorder="1" applyAlignment="1">
      <alignment horizontal="center" vertical="center"/>
    </xf>
    <xf numFmtId="4" fontId="11" fillId="0" borderId="70" xfId="3" applyNumberFormat="1" applyFont="1" applyBorder="1" applyAlignment="1">
      <alignment horizontal="center" vertical="center"/>
    </xf>
    <xf numFmtId="4" fontId="62" fillId="4" borderId="75" xfId="3" applyNumberFormat="1" applyFont="1" applyFill="1" applyBorder="1" applyAlignment="1">
      <alignment horizontal="center" vertical="center"/>
    </xf>
    <xf numFmtId="4" fontId="62" fillId="4" borderId="0" xfId="3" applyNumberFormat="1" applyFont="1" applyFill="1" applyBorder="1" applyAlignment="1">
      <alignment horizontal="center" vertical="center"/>
    </xf>
    <xf numFmtId="4" fontId="62" fillId="4" borderId="70" xfId="3" applyNumberFormat="1" applyFont="1" applyFill="1" applyBorder="1" applyAlignment="1">
      <alignment horizontal="center" vertical="center"/>
    </xf>
    <xf numFmtId="4" fontId="62" fillId="4" borderId="56" xfId="3" applyNumberFormat="1" applyFont="1" applyFill="1" applyBorder="1" applyAlignment="1">
      <alignment horizontal="center" vertical="center"/>
    </xf>
    <xf numFmtId="4" fontId="62" fillId="4" borderId="7" xfId="3" applyNumberFormat="1" applyFont="1" applyFill="1" applyBorder="1" applyAlignment="1">
      <alignment horizontal="center" vertical="center"/>
    </xf>
    <xf numFmtId="4" fontId="62" fillId="4" borderId="57" xfId="3" applyNumberFormat="1" applyFont="1" applyFill="1" applyBorder="1" applyAlignment="1">
      <alignment horizontal="center" vertical="center"/>
    </xf>
    <xf numFmtId="4" fontId="11" fillId="4" borderId="92" xfId="3" applyNumberFormat="1" applyFont="1" applyFill="1" applyBorder="1" applyAlignment="1">
      <alignment horizontal="right" indent="1"/>
    </xf>
    <xf numFmtId="4" fontId="11" fillId="4" borderId="171" xfId="3" applyNumberFormat="1" applyFont="1" applyFill="1" applyBorder="1" applyAlignment="1">
      <alignment horizontal="right" indent="1"/>
    </xf>
    <xf numFmtId="4" fontId="11" fillId="4" borderId="91" xfId="3" applyNumberFormat="1" applyFont="1" applyFill="1" applyBorder="1" applyAlignment="1">
      <alignment horizontal="right" indent="1"/>
    </xf>
    <xf numFmtId="1" fontId="11" fillId="0" borderId="171" xfId="3" applyNumberFormat="1" applyFont="1" applyBorder="1" applyAlignment="1">
      <alignment horizontal="center" vertical="center"/>
    </xf>
    <xf numFmtId="1" fontId="11" fillId="0" borderId="177" xfId="3" applyNumberFormat="1" applyFont="1" applyBorder="1" applyAlignment="1">
      <alignment horizontal="center" vertical="center"/>
    </xf>
    <xf numFmtId="3" fontId="11" fillId="4" borderId="119" xfId="3" applyNumberFormat="1" applyFont="1" applyFill="1" applyBorder="1" applyAlignment="1">
      <alignment horizontal="center" vertical="center"/>
    </xf>
    <xf numFmtId="3" fontId="11" fillId="4" borderId="50" xfId="3" applyNumberFormat="1" applyFont="1" applyFill="1" applyBorder="1" applyAlignment="1">
      <alignment horizontal="center" vertical="center"/>
    </xf>
    <xf numFmtId="4" fontId="11" fillId="0" borderId="32" xfId="3" applyNumberFormat="1" applyFont="1" applyBorder="1" applyAlignment="1">
      <alignment horizontal="center" vertical="center"/>
    </xf>
    <xf numFmtId="4" fontId="11" fillId="0" borderId="33" xfId="3" applyNumberFormat="1" applyFont="1" applyBorder="1" applyAlignment="1">
      <alignment horizontal="center" vertical="center"/>
    </xf>
    <xf numFmtId="4" fontId="11" fillId="0" borderId="34" xfId="3" applyNumberFormat="1" applyFont="1" applyBorder="1" applyAlignment="1">
      <alignment horizontal="center" vertical="center"/>
    </xf>
    <xf numFmtId="4" fontId="11" fillId="0" borderId="69" xfId="3" applyNumberFormat="1" applyFont="1" applyBorder="1" applyAlignment="1">
      <alignment horizontal="center" vertical="center"/>
    </xf>
    <xf numFmtId="4" fontId="11" fillId="4" borderId="110" xfId="3" applyNumberFormat="1" applyFont="1" applyFill="1" applyBorder="1" applyAlignment="1">
      <alignment horizontal="right" indent="1"/>
    </xf>
    <xf numFmtId="4" fontId="11" fillId="4" borderId="173" xfId="3" applyNumberFormat="1" applyFont="1" applyFill="1" applyBorder="1" applyAlignment="1">
      <alignment horizontal="right" indent="1"/>
    </xf>
    <xf numFmtId="4" fontId="11" fillId="4" borderId="39" xfId="3" applyNumberFormat="1" applyFont="1" applyFill="1" applyBorder="1" applyAlignment="1">
      <alignment horizontal="right" indent="1"/>
    </xf>
    <xf numFmtId="1" fontId="11" fillId="0" borderId="173" xfId="3" applyNumberFormat="1" applyFont="1" applyBorder="1" applyAlignment="1">
      <alignment horizontal="center" vertical="center"/>
    </xf>
    <xf numFmtId="1" fontId="11" fillId="0" borderId="175" xfId="3" applyNumberFormat="1" applyFont="1" applyBorder="1" applyAlignment="1">
      <alignment horizontal="center" vertical="center"/>
    </xf>
    <xf numFmtId="3" fontId="11" fillId="4" borderId="68" xfId="3" applyNumberFormat="1" applyFont="1" applyFill="1" applyBorder="1" applyAlignment="1">
      <alignment horizontal="center" vertical="center"/>
    </xf>
    <xf numFmtId="3" fontId="11" fillId="4" borderId="34" xfId="3" applyNumberFormat="1" applyFont="1" applyFill="1" applyBorder="1" applyAlignment="1">
      <alignment horizontal="center" vertical="center"/>
    </xf>
    <xf numFmtId="0" fontId="3"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4" fontId="11" fillId="0" borderId="6" xfId="3" applyNumberFormat="1" applyFont="1" applyBorder="1" applyAlignment="1">
      <alignment horizontal="center" vertical="center"/>
    </xf>
    <xf numFmtId="4" fontId="11" fillId="0" borderId="7" xfId="3" applyNumberFormat="1" applyFont="1" applyBorder="1" applyAlignment="1">
      <alignment horizontal="center" vertical="center"/>
    </xf>
    <xf numFmtId="4" fontId="11" fillId="0" borderId="8" xfId="3" applyNumberFormat="1" applyFont="1" applyBorder="1" applyAlignment="1">
      <alignment horizontal="center" vertical="center"/>
    </xf>
    <xf numFmtId="4" fontId="11" fillId="0" borderId="57" xfId="3" applyNumberFormat="1" applyFont="1" applyBorder="1" applyAlignment="1">
      <alignment horizontal="center" vertical="center"/>
    </xf>
    <xf numFmtId="4" fontId="11" fillId="4" borderId="111" xfId="3" applyNumberFormat="1" applyFont="1" applyFill="1" applyBorder="1" applyAlignment="1">
      <alignment horizontal="right" indent="1"/>
    </xf>
    <xf numFmtId="4" fontId="11" fillId="4" borderId="184" xfId="3" applyNumberFormat="1" applyFont="1" applyFill="1" applyBorder="1" applyAlignment="1">
      <alignment horizontal="right" indent="1"/>
    </xf>
    <xf numFmtId="4" fontId="11" fillId="4" borderId="40" xfId="3" applyNumberFormat="1" applyFont="1" applyFill="1" applyBorder="1" applyAlignment="1">
      <alignment horizontal="right" indent="1"/>
    </xf>
    <xf numFmtId="1" fontId="11" fillId="0" borderId="165" xfId="3" applyNumberFormat="1" applyFont="1" applyBorder="1" applyAlignment="1">
      <alignment horizontal="center" vertical="center"/>
    </xf>
    <xf numFmtId="1" fontId="11" fillId="0" borderId="185" xfId="3" applyNumberFormat="1" applyFont="1" applyBorder="1" applyAlignment="1">
      <alignment horizontal="center" vertical="center"/>
    </xf>
    <xf numFmtId="3" fontId="11" fillId="4" borderId="158" xfId="3" applyNumberFormat="1" applyFont="1" applyFill="1" applyBorder="1" applyAlignment="1">
      <alignment horizontal="center" vertical="center"/>
    </xf>
    <xf numFmtId="3" fontId="11" fillId="4" borderId="159" xfId="3" applyNumberFormat="1" applyFont="1" applyFill="1" applyBorder="1" applyAlignment="1">
      <alignment horizontal="center" vertical="center"/>
    </xf>
    <xf numFmtId="0" fontId="11" fillId="6" borderId="182" xfId="3" applyFont="1" applyFill="1" applyBorder="1" applyAlignment="1">
      <alignment horizontal="center" vertical="center" textRotation="90"/>
    </xf>
    <xf numFmtId="0" fontId="15" fillId="0" borderId="1" xfId="5" applyFont="1" applyBorder="1" applyAlignment="1">
      <alignment horizontal="left" vertical="center" wrapText="1"/>
    </xf>
    <xf numFmtId="0" fontId="15" fillId="0" borderId="2" xfId="5" applyFont="1" applyBorder="1" applyAlignment="1">
      <alignment horizontal="left" vertical="center" wrapText="1"/>
    </xf>
    <xf numFmtId="0" fontId="15" fillId="0" borderId="3" xfId="5" applyFont="1" applyBorder="1" applyAlignment="1">
      <alignment horizontal="left" vertical="center" wrapText="1"/>
    </xf>
    <xf numFmtId="0" fontId="15" fillId="0" borderId="6" xfId="5" applyFont="1" applyBorder="1" applyAlignment="1">
      <alignment horizontal="left" vertical="center" wrapText="1"/>
    </xf>
    <xf numFmtId="0" fontId="15" fillId="0" borderId="7" xfId="5" applyFont="1" applyBorder="1" applyAlignment="1">
      <alignment horizontal="left" vertical="center" wrapText="1"/>
    </xf>
    <xf numFmtId="0" fontId="15" fillId="0" borderId="8" xfId="5" applyFont="1" applyBorder="1" applyAlignment="1">
      <alignment horizontal="left" vertical="center" wrapText="1"/>
    </xf>
    <xf numFmtId="4" fontId="28" fillId="4" borderId="77" xfId="3" applyNumberFormat="1" applyFont="1" applyFill="1" applyBorder="1" applyAlignment="1">
      <alignment horizontal="center"/>
    </xf>
    <xf numFmtId="0" fontId="28" fillId="4" borderId="97" xfId="3" applyFont="1" applyFill="1" applyBorder="1" applyAlignment="1">
      <alignment horizontal="center"/>
    </xf>
    <xf numFmtId="0" fontId="28" fillId="4" borderId="78" xfId="3" applyFont="1" applyFill="1" applyBorder="1" applyAlignment="1">
      <alignment horizontal="center"/>
    </xf>
    <xf numFmtId="3" fontId="11" fillId="4" borderId="142" xfId="3" applyNumberFormat="1" applyFont="1" applyFill="1" applyBorder="1" applyAlignment="1">
      <alignment horizontal="center" vertical="center"/>
    </xf>
    <xf numFmtId="3" fontId="11" fillId="4" borderId="161" xfId="3" applyNumberFormat="1" applyFont="1" applyFill="1" applyBorder="1" applyAlignment="1">
      <alignment horizontal="center" vertical="center"/>
    </xf>
    <xf numFmtId="1" fontId="11" fillId="6" borderId="32" xfId="3" applyNumberFormat="1" applyFont="1" applyFill="1" applyBorder="1" applyAlignment="1">
      <alignment horizontal="center" vertical="center"/>
    </xf>
    <xf numFmtId="1" fontId="11" fillId="6" borderId="33" xfId="3" applyNumberFormat="1" applyFont="1" applyFill="1" applyBorder="1" applyAlignment="1">
      <alignment horizontal="center" vertical="center"/>
    </xf>
    <xf numFmtId="1" fontId="11" fillId="6" borderId="36" xfId="3" applyNumberFormat="1" applyFont="1" applyFill="1" applyBorder="1" applyAlignment="1">
      <alignment horizontal="center" vertical="center"/>
    </xf>
    <xf numFmtId="1" fontId="11" fillId="6" borderId="23" xfId="3" applyNumberFormat="1" applyFont="1" applyFill="1" applyBorder="1" applyAlignment="1">
      <alignment horizontal="center" vertical="center"/>
    </xf>
    <xf numFmtId="4" fontId="11" fillId="6" borderId="42" xfId="3" applyNumberFormat="1" applyFont="1" applyFill="1" applyBorder="1" applyAlignment="1">
      <alignment horizontal="center" vertical="center"/>
    </xf>
    <xf numFmtId="4" fontId="11" fillId="6" borderId="43" xfId="3" applyNumberFormat="1" applyFont="1" applyFill="1" applyBorder="1" applyAlignment="1">
      <alignment horizontal="center" vertical="center"/>
    </xf>
    <xf numFmtId="4" fontId="11" fillId="6" borderId="45" xfId="3" applyNumberFormat="1" applyFont="1" applyFill="1" applyBorder="1" applyAlignment="1">
      <alignment horizontal="center" vertical="center"/>
    </xf>
    <xf numFmtId="4" fontId="11" fillId="6" borderId="44" xfId="3" applyNumberFormat="1" applyFont="1" applyFill="1" applyBorder="1" applyAlignment="1">
      <alignment horizontal="center" vertical="center"/>
    </xf>
    <xf numFmtId="4" fontId="11" fillId="6" borderId="93" xfId="3" applyNumberFormat="1" applyFont="1" applyFill="1" applyBorder="1" applyAlignment="1">
      <alignment horizontal="center" vertical="center"/>
    </xf>
    <xf numFmtId="4" fontId="11" fillId="6" borderId="50" xfId="3" applyNumberFormat="1" applyFont="1" applyFill="1" applyBorder="1" applyAlignment="1">
      <alignment horizontal="center" vertical="center"/>
    </xf>
    <xf numFmtId="4" fontId="11" fillId="6" borderId="14" xfId="3" applyNumberFormat="1" applyFont="1" applyFill="1" applyBorder="1" applyAlignment="1">
      <alignment horizontal="center" vertical="center"/>
    </xf>
    <xf numFmtId="4" fontId="11" fillId="6" borderId="15" xfId="3" applyNumberFormat="1" applyFont="1" applyFill="1" applyBorder="1" applyAlignment="1">
      <alignment horizontal="center" vertical="center"/>
    </xf>
    <xf numFmtId="4" fontId="11" fillId="6" borderId="163" xfId="3" applyNumberFormat="1" applyFont="1" applyFill="1" applyBorder="1" applyAlignment="1">
      <alignment horizontal="center" vertical="center"/>
    </xf>
    <xf numFmtId="4" fontId="11" fillId="6" borderId="166" xfId="3" applyNumberFormat="1" applyFont="1" applyFill="1" applyBorder="1" applyAlignment="1">
      <alignment horizontal="center" vertical="center"/>
    </xf>
    <xf numFmtId="4" fontId="11" fillId="6" borderId="167" xfId="3" applyNumberFormat="1" applyFont="1" applyFill="1" applyBorder="1" applyAlignment="1">
      <alignment horizontal="center" vertical="center"/>
    </xf>
    <xf numFmtId="4" fontId="11" fillId="6" borderId="16" xfId="3" applyNumberFormat="1" applyFont="1" applyFill="1" applyBorder="1" applyAlignment="1">
      <alignment horizontal="center" vertical="center"/>
    </xf>
    <xf numFmtId="4" fontId="11" fillId="6" borderId="6" xfId="3" applyNumberFormat="1" applyFont="1" applyFill="1" applyBorder="1" applyAlignment="1">
      <alignment horizontal="center" vertical="center"/>
    </xf>
    <xf numFmtId="4" fontId="11" fillId="6" borderId="7" xfId="3" applyNumberFormat="1" applyFont="1" applyFill="1" applyBorder="1" applyAlignment="1">
      <alignment horizontal="center" vertical="center"/>
    </xf>
    <xf numFmtId="4" fontId="11" fillId="6" borderId="8" xfId="3" applyNumberFormat="1" applyFont="1" applyFill="1" applyBorder="1" applyAlignment="1">
      <alignment horizontal="center" vertical="center"/>
    </xf>
    <xf numFmtId="4" fontId="11" fillId="6" borderId="57" xfId="3" applyNumberFormat="1" applyFont="1" applyFill="1" applyBorder="1" applyAlignment="1">
      <alignment horizontal="center" vertical="center"/>
    </xf>
    <xf numFmtId="4" fontId="11" fillId="4" borderId="88" xfId="3" applyNumberFormat="1" applyFont="1" applyFill="1" applyBorder="1" applyAlignment="1">
      <alignment horizontal="right" indent="1"/>
    </xf>
    <xf numFmtId="4" fontId="11" fillId="4" borderId="165" xfId="3" applyNumberFormat="1" applyFont="1" applyFill="1" applyBorder="1" applyAlignment="1">
      <alignment horizontal="right" indent="1"/>
    </xf>
    <xf numFmtId="4" fontId="11" fillId="4" borderId="87" xfId="3" applyNumberFormat="1" applyFont="1" applyFill="1" applyBorder="1" applyAlignment="1">
      <alignment horizontal="right" indent="1"/>
    </xf>
    <xf numFmtId="4" fontId="28" fillId="10" borderId="52" xfId="3" applyNumberFormat="1" applyFont="1" applyFill="1" applyBorder="1" applyAlignment="1">
      <alignment horizontal="center"/>
    </xf>
    <xf numFmtId="0" fontId="28" fillId="10" borderId="52" xfId="3" applyFont="1" applyFill="1" applyBorder="1" applyAlignment="1">
      <alignment horizontal="center"/>
    </xf>
    <xf numFmtId="0" fontId="28" fillId="10" borderId="145" xfId="3" applyFont="1" applyFill="1" applyBorder="1" applyAlignment="1">
      <alignment horizontal="center"/>
    </xf>
    <xf numFmtId="4" fontId="28" fillId="10" borderId="51" xfId="3" applyNumberFormat="1" applyFont="1" applyFill="1" applyBorder="1" applyAlignment="1">
      <alignment horizontal="center"/>
    </xf>
    <xf numFmtId="0" fontId="28" fillId="10" borderId="53" xfId="3" applyFont="1" applyFill="1" applyBorder="1" applyAlignment="1">
      <alignment horizontal="center"/>
    </xf>
    <xf numFmtId="0" fontId="28" fillId="10" borderId="151" xfId="3" applyFont="1" applyFill="1" applyBorder="1" applyAlignment="1">
      <alignment horizontal="center"/>
    </xf>
    <xf numFmtId="0" fontId="18" fillId="0" borderId="51" xfId="1" applyFont="1" applyFill="1" applyBorder="1" applyAlignment="1">
      <alignment horizontal="center" vertical="center" wrapText="1"/>
    </xf>
    <xf numFmtId="0" fontId="18" fillId="0" borderId="52" xfId="1" applyFont="1" applyFill="1" applyBorder="1" applyAlignment="1">
      <alignment horizontal="center" vertical="center" wrapText="1"/>
    </xf>
    <xf numFmtId="0" fontId="18" fillId="0" borderId="53" xfId="1" applyFont="1" applyFill="1" applyBorder="1" applyAlignment="1">
      <alignment horizontal="center" vertical="center" wrapText="1"/>
    </xf>
    <xf numFmtId="0" fontId="18" fillId="0" borderId="75" xfId="1" applyFont="1" applyFill="1" applyBorder="1" applyAlignment="1">
      <alignment horizontal="center" vertical="center" wrapText="1"/>
    </xf>
    <xf numFmtId="0" fontId="18" fillId="0" borderId="0" xfId="1" applyFont="1" applyFill="1" applyBorder="1" applyAlignment="1">
      <alignment horizontal="center" vertical="center" wrapText="1"/>
    </xf>
    <xf numFmtId="0" fontId="18" fillId="0" borderId="70" xfId="1" applyFont="1" applyFill="1" applyBorder="1" applyAlignment="1">
      <alignment horizontal="center" vertical="center" wrapText="1"/>
    </xf>
    <xf numFmtId="0" fontId="18" fillId="0" borderId="60" xfId="1" applyFont="1" applyFill="1" applyBorder="1" applyAlignment="1">
      <alignment horizontal="center" vertical="center" wrapText="1"/>
    </xf>
    <xf numFmtId="0" fontId="18" fillId="0" borderId="61" xfId="1" applyFont="1" applyFill="1" applyBorder="1" applyAlignment="1">
      <alignment horizontal="center" vertical="center" wrapText="1"/>
    </xf>
    <xf numFmtId="0" fontId="18" fillId="0" borderId="76" xfId="1" applyFont="1" applyFill="1" applyBorder="1" applyAlignment="1">
      <alignment horizontal="center" vertical="center" wrapText="1"/>
    </xf>
    <xf numFmtId="0" fontId="13" fillId="0" borderId="51" xfId="1" applyFill="1" applyBorder="1" applyAlignment="1">
      <alignment horizontal="center" vertical="center"/>
    </xf>
    <xf numFmtId="0" fontId="13" fillId="0" borderId="52" xfId="1" applyFill="1" applyBorder="1" applyAlignment="1">
      <alignment horizontal="center" vertical="center"/>
    </xf>
    <xf numFmtId="0" fontId="13" fillId="0" borderId="60" xfId="1" applyFill="1" applyBorder="1" applyAlignment="1">
      <alignment horizontal="center" vertical="center"/>
    </xf>
    <xf numFmtId="0" fontId="13" fillId="0" borderId="61" xfId="1" applyFill="1" applyBorder="1" applyAlignment="1">
      <alignment horizontal="center" vertical="center"/>
    </xf>
    <xf numFmtId="0" fontId="72" fillId="0" borderId="0" xfId="1" applyFont="1" applyFill="1" applyAlignment="1">
      <alignment horizontal="center" vertical="center"/>
    </xf>
    <xf numFmtId="0" fontId="72" fillId="0" borderId="61" xfId="1" applyFont="1" applyFill="1" applyBorder="1" applyAlignment="1">
      <alignment horizontal="center" vertical="center"/>
    </xf>
    <xf numFmtId="0" fontId="18" fillId="0" borderId="51" xfId="1" applyFont="1" applyFill="1" applyBorder="1" applyAlignment="1" applyProtection="1">
      <alignment horizontal="center" vertical="center" wrapText="1"/>
    </xf>
    <xf numFmtId="0" fontId="18" fillId="0" borderId="52" xfId="1" applyFont="1" applyFill="1" applyBorder="1" applyAlignment="1" applyProtection="1">
      <alignment horizontal="center" vertical="center" wrapText="1"/>
    </xf>
    <xf numFmtId="0" fontId="18" fillId="0" borderId="53" xfId="1" applyFont="1" applyFill="1" applyBorder="1" applyAlignment="1" applyProtection="1">
      <alignment horizontal="center" vertical="center" wrapText="1"/>
    </xf>
    <xf numFmtId="0" fontId="18" fillId="0" borderId="75"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8" fillId="0" borderId="70" xfId="1" applyFont="1" applyFill="1" applyBorder="1" applyAlignment="1" applyProtection="1">
      <alignment horizontal="center" vertical="center" wrapText="1"/>
    </xf>
    <xf numFmtId="0" fontId="18" fillId="0" borderId="60" xfId="1" applyFont="1" applyFill="1" applyBorder="1" applyAlignment="1" applyProtection="1">
      <alignment horizontal="center" vertical="center" wrapText="1"/>
    </xf>
    <xf numFmtId="0" fontId="18" fillId="0" borderId="61" xfId="1" applyFont="1" applyFill="1" applyBorder="1" applyAlignment="1" applyProtection="1">
      <alignment horizontal="center" vertical="center" wrapText="1"/>
    </xf>
    <xf numFmtId="0" fontId="18" fillId="0" borderId="76" xfId="1" applyFont="1" applyFill="1" applyBorder="1" applyAlignment="1" applyProtection="1">
      <alignment horizontal="center" vertical="center" wrapText="1"/>
    </xf>
    <xf numFmtId="0" fontId="72" fillId="0" borderId="0" xfId="1" applyFont="1" applyFill="1" applyAlignment="1" applyProtection="1">
      <alignment horizontal="center" vertical="center"/>
    </xf>
    <xf numFmtId="0" fontId="72" fillId="0" borderId="61" xfId="1" applyFont="1" applyFill="1" applyBorder="1" applyAlignment="1" applyProtection="1">
      <alignment horizontal="center" vertical="center"/>
    </xf>
    <xf numFmtId="0" fontId="13" fillId="0" borderId="51" xfId="1" applyFill="1" applyBorder="1" applyAlignment="1" applyProtection="1">
      <alignment horizontal="center" vertical="center"/>
    </xf>
    <xf numFmtId="0" fontId="13" fillId="0" borderId="52" xfId="1" applyFill="1" applyBorder="1" applyAlignment="1" applyProtection="1">
      <alignment horizontal="center" vertical="center"/>
    </xf>
    <xf numFmtId="0" fontId="13" fillId="0" borderId="60" xfId="1" applyFill="1" applyBorder="1" applyAlignment="1" applyProtection="1">
      <alignment horizontal="center" vertical="center"/>
    </xf>
    <xf numFmtId="0" fontId="13" fillId="0" borderId="61" xfId="1" applyFill="1" applyBorder="1" applyAlignment="1" applyProtection="1">
      <alignment horizontal="center" vertical="center"/>
    </xf>
    <xf numFmtId="0" fontId="14" fillId="2" borderId="2" xfId="6" applyFont="1" applyFill="1" applyBorder="1" applyAlignment="1" applyProtection="1">
      <alignment horizontal="center" vertical="center" wrapText="1"/>
    </xf>
    <xf numFmtId="0" fontId="14" fillId="2" borderId="0" xfId="6" applyFont="1" applyFill="1" applyBorder="1" applyAlignment="1" applyProtection="1">
      <alignment horizontal="center" vertical="center" wrapText="1"/>
    </xf>
    <xf numFmtId="0" fontId="39" fillId="0" borderId="91" xfId="0" applyFont="1" applyBorder="1"/>
    <xf numFmtId="0" fontId="14" fillId="2" borderId="7" xfId="6" applyFont="1" applyFill="1" applyBorder="1" applyAlignment="1" applyProtection="1">
      <alignment horizontal="center" vertical="center" wrapText="1"/>
    </xf>
    <xf numFmtId="0" fontId="14" fillId="2" borderId="225" xfId="6" applyFont="1" applyFill="1" applyBorder="1" applyAlignment="1" applyProtection="1">
      <alignment horizontal="center" vertical="center" wrapText="1"/>
    </xf>
    <xf numFmtId="0" fontId="14" fillId="2" borderId="92" xfId="6" applyFont="1" applyFill="1" applyBorder="1" applyAlignment="1" applyProtection="1">
      <alignment horizontal="center" vertical="center" wrapText="1"/>
    </xf>
    <xf numFmtId="0" fontId="14" fillId="2" borderId="88" xfId="6" applyFont="1" applyFill="1" applyBorder="1" applyAlignment="1" applyProtection="1">
      <alignment horizontal="center" vertical="center" wrapText="1"/>
    </xf>
    <xf numFmtId="0" fontId="30" fillId="13" borderId="4" xfId="5" applyFont="1" applyFill="1" applyBorder="1" applyAlignment="1">
      <alignment vertical="center" wrapText="1"/>
    </xf>
    <xf numFmtId="0" fontId="30" fillId="13" borderId="0" xfId="5" applyFont="1" applyFill="1" applyBorder="1" applyAlignment="1">
      <alignment vertical="center" wrapText="1"/>
    </xf>
    <xf numFmtId="0" fontId="14" fillId="13" borderId="0" xfId="1" applyFont="1" applyFill="1" applyBorder="1" applyAlignment="1" applyProtection="1">
      <alignment vertical="center"/>
    </xf>
    <xf numFmtId="0" fontId="30" fillId="13" borderId="6" xfId="5" applyFont="1" applyFill="1" applyBorder="1" applyAlignment="1">
      <alignment vertical="center" wrapText="1"/>
    </xf>
    <xf numFmtId="0" fontId="30" fillId="13" borderId="7" xfId="5" applyFont="1" applyFill="1" applyBorder="1" applyAlignment="1">
      <alignment vertical="center" wrapText="1"/>
    </xf>
    <xf numFmtId="0" fontId="16" fillId="13" borderId="7" xfId="1" applyFont="1" applyFill="1" applyBorder="1" applyAlignment="1" applyProtection="1">
      <alignment horizontal="right"/>
    </xf>
    <xf numFmtId="0" fontId="13" fillId="13" borderId="0" xfId="1" applyFont="1" applyFill="1" applyBorder="1" applyAlignment="1" applyProtection="1">
      <alignment vertical="center"/>
    </xf>
    <xf numFmtId="0" fontId="13" fillId="13" borderId="5" xfId="5" applyFill="1" applyBorder="1" applyAlignment="1">
      <alignment vertical="center"/>
    </xf>
    <xf numFmtId="0" fontId="14" fillId="13" borderId="5" xfId="6" applyFont="1" applyFill="1" applyBorder="1" applyAlignment="1" applyProtection="1">
      <alignment vertical="center" wrapText="1"/>
    </xf>
    <xf numFmtId="0" fontId="14" fillId="13" borderId="8" xfId="6" applyFont="1" applyFill="1" applyBorder="1" applyAlignment="1" applyProtection="1">
      <alignment vertical="center" wrapText="1"/>
    </xf>
    <xf numFmtId="0" fontId="96" fillId="0" borderId="0" xfId="5" applyFont="1" applyBorder="1" applyAlignment="1">
      <alignment horizontal="left" vertical="center"/>
    </xf>
  </cellXfs>
  <cellStyles count="13">
    <cellStyle name="Dezimal 2" xfId="7" xr:uid="{00000000-0005-0000-0000-000000000000}"/>
    <cellStyle name="Euro" xfId="8" xr:uid="{00000000-0005-0000-0000-000001000000}"/>
    <cellStyle name="Hyperlink 2" xfId="4" xr:uid="{00000000-0005-0000-0000-000002000000}"/>
    <cellStyle name="Standard" xfId="0" builtinId="0"/>
    <cellStyle name="Standard 2" xfId="2" xr:uid="{00000000-0005-0000-0000-000005000000}"/>
    <cellStyle name="Standard 2 2" xfId="5" xr:uid="{00000000-0005-0000-0000-000006000000}"/>
    <cellStyle name="Standard 2_026.1 neu" xfId="9" xr:uid="{00000000-0005-0000-0000-000007000000}"/>
    <cellStyle name="Standard 3" xfId="3" xr:uid="{00000000-0005-0000-0000-000008000000}"/>
    <cellStyle name="Standard 3 2" xfId="1" xr:uid="{00000000-0005-0000-0000-000009000000}"/>
    <cellStyle name="Standard 3 3" xfId="6" xr:uid="{00000000-0005-0000-0000-00000A000000}"/>
    <cellStyle name="Standard 4" xfId="10" xr:uid="{00000000-0005-0000-0000-00000B000000}"/>
    <cellStyle name="Standard 5" xfId="11" xr:uid="{00000000-0005-0000-0000-00000C000000}"/>
    <cellStyle name="Standard 6" xfId="12" xr:uid="{00000000-0005-0000-0000-00000D000000}"/>
  </cellStyles>
  <dxfs count="189">
    <dxf>
      <font>
        <b val="0"/>
        <i val="0"/>
        <color rgb="FFFFFFCC"/>
      </font>
    </dxf>
    <dxf>
      <font>
        <b val="0"/>
        <i val="0"/>
        <color theme="0"/>
      </font>
    </dxf>
    <dxf>
      <font>
        <b val="0"/>
        <i val="0"/>
        <color theme="0"/>
      </font>
    </dxf>
    <dxf>
      <font>
        <b val="0"/>
        <i val="0"/>
        <color theme="0"/>
      </font>
    </dxf>
    <dxf>
      <font>
        <b val="0"/>
        <i val="0"/>
        <color rgb="FFFFFFCC"/>
      </font>
    </dxf>
    <dxf>
      <font>
        <b/>
        <i val="0"/>
        <color rgb="FFFF0000"/>
      </font>
    </dxf>
    <dxf>
      <font>
        <b val="0"/>
        <i val="0"/>
        <color rgb="FFFFFF99"/>
      </font>
    </dxf>
    <dxf>
      <font>
        <b val="0"/>
        <i val="0"/>
        <color rgb="FFFFFF99"/>
      </font>
    </dxf>
    <dxf>
      <font>
        <b val="0"/>
        <i val="0"/>
        <color rgb="FFFFFF99"/>
      </font>
    </dxf>
    <dxf>
      <font>
        <b val="0"/>
        <i val="0"/>
        <color rgb="FFFFFF99"/>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val="0"/>
        <i val="0"/>
        <color theme="0"/>
      </font>
    </dxf>
    <dxf>
      <font>
        <b val="0"/>
        <i val="0"/>
        <color theme="0"/>
      </font>
    </dxf>
    <dxf>
      <font>
        <b val="0"/>
        <i val="0"/>
        <color theme="0"/>
      </font>
    </dxf>
    <dxf>
      <font>
        <b val="0"/>
        <i val="0"/>
        <color rgb="FFFFFF99"/>
      </font>
    </dxf>
    <dxf>
      <font>
        <b/>
        <i val="0"/>
        <color rgb="FFFF0000"/>
      </font>
    </dxf>
    <dxf>
      <font>
        <b val="0"/>
        <i val="0"/>
        <color rgb="FFFFFFCC"/>
      </font>
    </dxf>
    <dxf>
      <font>
        <b val="0"/>
        <i val="0"/>
        <color rgb="FFFFFF99"/>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val="0"/>
        <i val="0"/>
        <color rgb="FFFFFF99"/>
      </font>
    </dxf>
    <dxf>
      <font>
        <b val="0"/>
        <i val="0"/>
        <color rgb="FFFFFF99"/>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val="0"/>
        <i val="0"/>
        <color theme="0"/>
      </font>
    </dxf>
    <dxf>
      <font>
        <b val="0"/>
        <i val="0"/>
        <color rgb="FFFFFF99"/>
      </font>
    </dxf>
    <dxf>
      <font>
        <b val="0"/>
        <i val="0"/>
        <color theme="0"/>
      </font>
    </dxf>
    <dxf>
      <font>
        <b val="0"/>
        <i val="0"/>
        <color theme="0"/>
      </font>
    </dxf>
    <dxf>
      <font>
        <b/>
        <i val="0"/>
        <color rgb="FFFF0000"/>
      </font>
    </dxf>
    <dxf>
      <font>
        <b val="0"/>
        <i val="0"/>
        <color rgb="FFFFFF99"/>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val="0"/>
        <i val="0"/>
        <color rgb="FFFFFF99"/>
      </font>
    </dxf>
    <dxf>
      <font>
        <b val="0"/>
        <i val="0"/>
        <color rgb="FFFFFF99"/>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val="0"/>
        <i val="0"/>
        <color theme="0"/>
      </font>
    </dxf>
    <dxf>
      <font>
        <b val="0"/>
        <i val="0"/>
        <color rgb="FFFFFF99"/>
      </font>
    </dxf>
    <dxf>
      <font>
        <b val="0"/>
        <i val="0"/>
        <color theme="0"/>
      </font>
      <fill>
        <patternFill>
          <bgColor theme="0"/>
        </patternFill>
      </fill>
    </dxf>
    <dxf>
      <font>
        <b val="0"/>
        <i val="0"/>
        <color theme="0"/>
      </font>
      <fill>
        <patternFill patternType="none">
          <bgColor auto="1"/>
        </patternFill>
      </fill>
    </dxf>
    <dxf>
      <font>
        <b val="0"/>
        <i val="0"/>
        <color theme="0"/>
      </font>
      <fill>
        <patternFill>
          <bgColor theme="0"/>
        </patternFill>
      </fill>
    </dxf>
    <dxf>
      <font>
        <b val="0"/>
        <i val="0"/>
        <color theme="4" tint="0.79998168889431442"/>
      </font>
      <fill>
        <patternFill>
          <bgColor theme="4" tint="0.79998168889431442"/>
        </patternFill>
      </fill>
    </dxf>
    <dxf>
      <font>
        <b val="0"/>
        <i val="0"/>
        <color theme="0"/>
      </font>
      <fill>
        <patternFill>
          <bgColor theme="0"/>
        </patternFill>
      </fill>
    </dxf>
    <dxf>
      <font>
        <b val="0"/>
        <i val="0"/>
        <color theme="0"/>
      </font>
    </dxf>
    <dxf>
      <font>
        <b val="0"/>
        <i val="0"/>
        <color theme="0"/>
      </font>
      <fill>
        <patternFill>
          <bgColor theme="0"/>
        </patternFill>
      </fill>
    </dxf>
    <dxf>
      <font>
        <b/>
        <i val="0"/>
        <color rgb="FFFF0000"/>
      </font>
    </dxf>
    <dxf>
      <font>
        <b/>
        <i val="0"/>
        <color rgb="FFFF0000"/>
      </font>
    </dxf>
    <dxf>
      <font>
        <b val="0"/>
        <i val="0"/>
        <color theme="0"/>
      </font>
      <fill>
        <patternFill>
          <bgColor theme="0"/>
        </patternFill>
      </fill>
    </dxf>
    <dxf>
      <font>
        <b/>
        <i val="0"/>
        <color rgb="FFFF0000"/>
      </font>
    </dxf>
    <dxf>
      <font>
        <color rgb="FFFFFFCC"/>
      </font>
    </dxf>
    <dxf>
      <font>
        <b val="0"/>
        <i val="0"/>
        <color rgb="FFFF0000"/>
      </font>
    </dxf>
    <dxf>
      <font>
        <b/>
        <i val="0"/>
        <color rgb="FFFF0000"/>
      </font>
    </dxf>
    <dxf>
      <font>
        <b val="0"/>
        <i val="0"/>
        <color theme="0"/>
      </font>
      <fill>
        <patternFill>
          <bgColor theme="0"/>
        </patternFill>
      </fill>
    </dxf>
    <dxf>
      <font>
        <b val="0"/>
        <i val="0"/>
        <color theme="0"/>
      </font>
      <fill>
        <patternFill>
          <bgColor theme="0"/>
        </patternFill>
      </fill>
    </dxf>
    <dxf>
      <font>
        <b val="0"/>
        <i val="0"/>
        <color theme="0"/>
      </font>
      <fill>
        <patternFill>
          <bgColor theme="0"/>
        </patternFill>
      </fill>
    </dxf>
    <dxf>
      <font>
        <b val="0"/>
        <i val="0"/>
        <color theme="0"/>
      </font>
      <fill>
        <patternFill>
          <bgColor theme="0"/>
        </patternFill>
      </fill>
    </dxf>
    <dxf>
      <font>
        <b val="0"/>
        <i val="0"/>
        <color auto="1"/>
      </font>
      <fill>
        <patternFill>
          <bgColor rgb="FFCCFFCC"/>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FF0000"/>
      </font>
    </dxf>
    <dxf>
      <fill>
        <patternFill>
          <bgColor theme="0" tint="-4.9989318521683403E-2"/>
        </patternFill>
      </fill>
    </dxf>
    <dxf>
      <font>
        <b/>
        <i val="0"/>
        <color rgb="FFFF0000"/>
      </font>
    </dxf>
    <dxf>
      <font>
        <b val="0"/>
        <i val="0"/>
        <color auto="1"/>
      </font>
      <fill>
        <patternFill>
          <bgColor rgb="FFCCFFCC"/>
        </patternFill>
      </fill>
    </dxf>
    <dxf>
      <font>
        <b/>
        <i val="0"/>
        <color rgb="FFFF0000"/>
      </font>
    </dxf>
    <dxf>
      <font>
        <b val="0"/>
        <i val="0"/>
        <color auto="1"/>
      </font>
      <fill>
        <patternFill>
          <bgColor rgb="FFCCFFCC"/>
        </patternFill>
      </fill>
    </dxf>
    <dxf>
      <font>
        <b/>
        <i val="0"/>
        <color rgb="FFFF0000"/>
      </font>
    </dxf>
    <dxf>
      <font>
        <b val="0"/>
        <i val="0"/>
        <color auto="1"/>
      </font>
    </dxf>
    <dxf>
      <font>
        <b/>
        <i val="0"/>
        <color rgb="FFFF0000"/>
      </font>
    </dxf>
    <dxf>
      <font>
        <b val="0"/>
        <i val="0"/>
        <color auto="1"/>
      </font>
    </dxf>
    <dxf>
      <font>
        <b/>
        <i val="0"/>
        <color rgb="FFFF0000"/>
      </font>
    </dxf>
    <dxf>
      <font>
        <b val="0"/>
        <i val="0"/>
        <color auto="1"/>
      </font>
    </dxf>
    <dxf>
      <font>
        <b/>
        <i val="0"/>
        <color rgb="FFFF0000"/>
      </font>
    </dxf>
    <dxf>
      <font>
        <color rgb="FFFFFFCC"/>
      </font>
    </dxf>
    <dxf>
      <font>
        <color theme="4" tint="0.79998168889431442"/>
      </font>
      <fill>
        <patternFill>
          <bgColor theme="4" tint="0.79998168889431442"/>
        </patternFill>
      </fill>
    </dxf>
    <dxf>
      <fill>
        <patternFill>
          <bgColor rgb="FFCCFFCC"/>
        </patternFill>
      </fill>
    </dxf>
    <dxf>
      <font>
        <b/>
        <i val="0"/>
        <color rgb="FFFF0000"/>
      </font>
    </dxf>
    <dxf>
      <fill>
        <patternFill>
          <bgColor theme="0" tint="-4.9989318521683403E-2"/>
        </patternFill>
      </fill>
    </dxf>
    <dxf>
      <font>
        <b/>
        <i val="0"/>
        <color rgb="FFFF0000"/>
      </font>
    </dxf>
    <dxf>
      <fill>
        <patternFill>
          <bgColor theme="0" tint="-4.9989318521683403E-2"/>
        </patternFill>
      </fill>
    </dxf>
    <dxf>
      <font>
        <b/>
        <i val="0"/>
        <color rgb="FFFF0000"/>
      </font>
    </dxf>
    <dxf>
      <font>
        <b/>
        <i val="0"/>
        <color rgb="FFFF0000"/>
      </font>
    </dxf>
    <dxf>
      <font>
        <b val="0"/>
        <i val="0"/>
        <color theme="0" tint="-0.14996795556505021"/>
      </font>
      <fill>
        <patternFill>
          <bgColor theme="0" tint="-0.14996795556505021"/>
        </patternFill>
      </fill>
    </dxf>
    <dxf>
      <font>
        <b/>
        <i val="0"/>
        <color rgb="FFFF0000"/>
      </font>
    </dxf>
    <dxf>
      <font>
        <b/>
        <i val="0"/>
        <color rgb="FFFF0000"/>
      </font>
    </dxf>
    <dxf>
      <font>
        <b/>
        <i val="0"/>
        <color rgb="FFFF0000"/>
      </font>
    </dxf>
    <dxf>
      <font>
        <b/>
        <i val="0"/>
        <color rgb="FFFF0000"/>
      </font>
      <fill>
        <patternFill>
          <bgColor theme="0" tint="-4.9989318521683403E-2"/>
        </patternFill>
      </fill>
    </dxf>
    <dxf>
      <font>
        <color theme="0" tint="-4.9989318521683403E-2"/>
      </font>
    </dxf>
    <dxf>
      <font>
        <b/>
        <i val="0"/>
        <color rgb="FFFF0000"/>
      </font>
    </dxf>
    <dxf>
      <font>
        <b val="0"/>
        <i val="0"/>
        <color theme="0"/>
      </font>
      <fill>
        <patternFill>
          <bgColor theme="0"/>
        </patternFill>
      </fill>
    </dxf>
    <dxf>
      <font>
        <b val="0"/>
        <i val="0"/>
        <color theme="0"/>
      </font>
      <fill>
        <patternFill patternType="none">
          <bgColor auto="1"/>
        </patternFill>
      </fill>
    </dxf>
    <dxf>
      <font>
        <b val="0"/>
        <i val="0"/>
        <color theme="0"/>
      </font>
      <fill>
        <patternFill>
          <bgColor theme="0"/>
        </patternFill>
      </fill>
    </dxf>
    <dxf>
      <font>
        <b val="0"/>
        <i val="0"/>
        <color theme="4" tint="0.79998168889431442"/>
      </font>
      <fill>
        <patternFill>
          <bgColor theme="4" tint="0.79998168889431442"/>
        </patternFill>
      </fill>
    </dxf>
    <dxf>
      <font>
        <b val="0"/>
        <i val="0"/>
        <color theme="0"/>
      </font>
      <fill>
        <patternFill>
          <bgColor theme="0"/>
        </patternFill>
      </fill>
    </dxf>
    <dxf>
      <font>
        <b val="0"/>
        <i val="0"/>
        <color theme="0"/>
      </font>
    </dxf>
    <dxf>
      <font>
        <b val="0"/>
        <i val="0"/>
        <color theme="0"/>
      </font>
      <fill>
        <patternFill>
          <bgColor theme="0"/>
        </patternFill>
      </fill>
    </dxf>
    <dxf>
      <font>
        <b/>
        <i val="0"/>
        <color rgb="FFFF0000"/>
      </font>
    </dxf>
    <dxf>
      <font>
        <b/>
        <i val="0"/>
        <color rgb="FFFF0000"/>
      </font>
    </dxf>
    <dxf>
      <font>
        <b val="0"/>
        <i val="0"/>
        <color theme="0"/>
      </font>
      <fill>
        <patternFill>
          <bgColor theme="0"/>
        </patternFill>
      </fill>
    </dxf>
    <dxf>
      <font>
        <b/>
        <i val="0"/>
        <color rgb="FFFF0000"/>
      </font>
    </dxf>
    <dxf>
      <font>
        <color rgb="FFFFFFCC"/>
      </font>
    </dxf>
    <dxf>
      <font>
        <b val="0"/>
        <i val="0"/>
        <color rgb="FFFF0000"/>
      </font>
    </dxf>
    <dxf>
      <font>
        <b/>
        <i val="0"/>
        <color rgb="FFFF0000"/>
      </font>
    </dxf>
    <dxf>
      <font>
        <b val="0"/>
        <i val="0"/>
        <color theme="0"/>
      </font>
      <fill>
        <patternFill>
          <bgColor theme="0"/>
        </patternFill>
      </fill>
    </dxf>
    <dxf>
      <font>
        <b val="0"/>
        <i val="0"/>
        <color theme="0"/>
      </font>
      <fill>
        <patternFill>
          <bgColor theme="0"/>
        </patternFill>
      </fill>
    </dxf>
    <dxf>
      <font>
        <b val="0"/>
        <i val="0"/>
        <color theme="0"/>
      </font>
      <fill>
        <patternFill>
          <bgColor theme="0"/>
        </patternFill>
      </fill>
    </dxf>
    <dxf>
      <font>
        <b val="0"/>
        <i val="0"/>
        <color theme="0"/>
      </font>
      <fill>
        <patternFill>
          <bgColor theme="0"/>
        </patternFill>
      </fill>
    </dxf>
    <dxf>
      <font>
        <b val="0"/>
        <i val="0"/>
        <color auto="1"/>
      </font>
      <fill>
        <patternFill>
          <bgColor rgb="FFCCFFCC"/>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FF0000"/>
      </font>
    </dxf>
    <dxf>
      <fill>
        <patternFill>
          <bgColor theme="0" tint="-4.9989318521683403E-2"/>
        </patternFill>
      </fill>
    </dxf>
    <dxf>
      <font>
        <b/>
        <i val="0"/>
        <color rgb="FFFF0000"/>
      </font>
    </dxf>
    <dxf>
      <font>
        <b val="0"/>
        <i val="0"/>
        <color auto="1"/>
      </font>
      <fill>
        <patternFill>
          <bgColor rgb="FFCCFFCC"/>
        </patternFill>
      </fill>
    </dxf>
    <dxf>
      <font>
        <b/>
        <i val="0"/>
        <color rgb="FFFF0000"/>
      </font>
    </dxf>
    <dxf>
      <font>
        <b val="0"/>
        <i val="0"/>
        <color auto="1"/>
      </font>
      <fill>
        <patternFill>
          <bgColor rgb="FFCCFFCC"/>
        </patternFill>
      </fill>
    </dxf>
    <dxf>
      <font>
        <b/>
        <i val="0"/>
        <color rgb="FFFF0000"/>
      </font>
    </dxf>
    <dxf>
      <font>
        <b val="0"/>
        <i val="0"/>
        <color auto="1"/>
      </font>
    </dxf>
    <dxf>
      <font>
        <b/>
        <i val="0"/>
        <color rgb="FFFF0000"/>
      </font>
    </dxf>
    <dxf>
      <font>
        <b val="0"/>
        <i val="0"/>
        <color auto="1"/>
      </font>
    </dxf>
    <dxf>
      <font>
        <b/>
        <i val="0"/>
        <color rgb="FFFF0000"/>
      </font>
    </dxf>
    <dxf>
      <font>
        <b val="0"/>
        <i val="0"/>
        <color auto="1"/>
      </font>
    </dxf>
    <dxf>
      <font>
        <b/>
        <i val="0"/>
        <color rgb="FFFF0000"/>
      </font>
    </dxf>
    <dxf>
      <font>
        <color rgb="FFFFFFCC"/>
      </font>
    </dxf>
    <dxf>
      <font>
        <color theme="4" tint="0.79998168889431442"/>
      </font>
      <fill>
        <patternFill>
          <bgColor theme="4" tint="0.79998168889431442"/>
        </patternFill>
      </fill>
    </dxf>
    <dxf>
      <fill>
        <patternFill>
          <bgColor rgb="FFCCFFCC"/>
        </patternFill>
      </fill>
    </dxf>
    <dxf>
      <font>
        <b/>
        <i val="0"/>
        <color rgb="FFFF0000"/>
      </font>
    </dxf>
    <dxf>
      <fill>
        <patternFill>
          <bgColor theme="0" tint="-4.9989318521683403E-2"/>
        </patternFill>
      </fill>
    </dxf>
    <dxf>
      <font>
        <b/>
        <i val="0"/>
        <color rgb="FFFF0000"/>
      </font>
    </dxf>
    <dxf>
      <fill>
        <patternFill>
          <bgColor theme="0" tint="-4.9989318521683403E-2"/>
        </patternFill>
      </fill>
    </dxf>
    <dxf>
      <font>
        <b/>
        <i val="0"/>
        <color rgb="FFFF0000"/>
      </font>
    </dxf>
    <dxf>
      <font>
        <b/>
        <i val="0"/>
        <color rgb="FFFF0000"/>
      </font>
    </dxf>
    <dxf>
      <font>
        <b val="0"/>
        <i val="0"/>
        <color theme="0" tint="-0.14996795556505021"/>
      </font>
      <fill>
        <patternFill>
          <bgColor theme="0" tint="-0.14996795556505021"/>
        </patternFill>
      </fill>
    </dxf>
    <dxf>
      <font>
        <b/>
        <i val="0"/>
        <color rgb="FFFF0000"/>
      </font>
    </dxf>
    <dxf>
      <font>
        <b/>
        <i val="0"/>
        <color rgb="FFFF0000"/>
      </font>
    </dxf>
    <dxf>
      <font>
        <b/>
        <i val="0"/>
        <color rgb="FFFF0000"/>
      </font>
    </dxf>
    <dxf>
      <font>
        <b/>
        <i val="0"/>
        <color rgb="FFFF0000"/>
      </font>
      <fill>
        <patternFill>
          <bgColor theme="0" tint="-4.9989318521683403E-2"/>
        </patternFill>
      </fill>
    </dxf>
    <dxf>
      <font>
        <color theme="0" tint="-4.9989318521683403E-2"/>
      </font>
    </dxf>
    <dxf>
      <font>
        <b/>
        <i val="0"/>
        <color rgb="FFFF0000"/>
      </font>
    </dxf>
    <dxf>
      <font>
        <color theme="0"/>
      </font>
    </dxf>
    <dxf>
      <font>
        <color theme="0"/>
      </font>
    </dxf>
    <dxf>
      <font>
        <color theme="0"/>
      </font>
    </dxf>
    <dxf>
      <font>
        <color theme="0"/>
      </font>
    </dxf>
  </dxfs>
  <tableStyles count="0" defaultTableStyle="TableStyleMedium9" defaultPivotStyle="PivotStyleLight16"/>
  <colors>
    <mruColors>
      <color rgb="FFCCFFFF"/>
      <color rgb="FF008000"/>
      <color rgb="FFCCFFCC"/>
      <color rgb="FFFFFFCC"/>
      <color rgb="FFFFFF99"/>
      <color rgb="FF0000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139810</xdr:colOff>
      <xdr:row>0</xdr:row>
      <xdr:rowOff>76862</xdr:rowOff>
    </xdr:from>
    <xdr:to>
      <xdr:col>26</xdr:col>
      <xdr:colOff>22860</xdr:colOff>
      <xdr:row>2</xdr:row>
      <xdr:rowOff>86968</xdr:rowOff>
    </xdr:to>
    <xdr:pic>
      <xdr:nvPicPr>
        <xdr:cNvPr id="2" name="Grafik 1">
          <a:extLst>
            <a:ext uri="{FF2B5EF4-FFF2-40B4-BE49-F238E27FC236}">
              <a16:creationId xmlns:a16="http://schemas.microsoft.com/office/drawing/2014/main" id="{379901CB-F1CF-472E-B416-98A35D0881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8370" y="76862"/>
          <a:ext cx="980330" cy="3453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33130</xdr:colOff>
      <xdr:row>1</xdr:row>
      <xdr:rowOff>8282</xdr:rowOff>
    </xdr:from>
    <xdr:to>
      <xdr:col>30</xdr:col>
      <xdr:colOff>140796</xdr:colOff>
      <xdr:row>3</xdr:row>
      <xdr:rowOff>18388</xdr:rowOff>
    </xdr:to>
    <xdr:pic>
      <xdr:nvPicPr>
        <xdr:cNvPr id="2" name="Grafik 1">
          <a:extLst>
            <a:ext uri="{FF2B5EF4-FFF2-40B4-BE49-F238E27FC236}">
              <a16:creationId xmlns:a16="http://schemas.microsoft.com/office/drawing/2014/main" id="{AF8BFBCD-FFC8-404B-A892-4D0179415A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6530" y="179732"/>
          <a:ext cx="1012541" cy="35300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169252</xdr:colOff>
      <xdr:row>4</xdr:row>
      <xdr:rowOff>0</xdr:rowOff>
    </xdr:from>
    <xdr:ext cx="55272" cy="238079"/>
    <xdr:sp macro="" textlink="">
      <xdr:nvSpPr>
        <xdr:cNvPr id="3" name="Rectangle 4">
          <a:extLst>
            <a:ext uri="{FF2B5EF4-FFF2-40B4-BE49-F238E27FC236}">
              <a16:creationId xmlns:a16="http://schemas.microsoft.com/office/drawing/2014/main" id="{00000000-0008-0000-0300-000003000000}"/>
            </a:ext>
          </a:extLst>
        </xdr:cNvPr>
        <xdr:cNvSpPr>
          <a:spLocks noChangeArrowheads="1"/>
        </xdr:cNvSpPr>
      </xdr:nvSpPr>
      <xdr:spPr bwMode="auto">
        <a:xfrm>
          <a:off x="1979002" y="685800"/>
          <a:ext cx="55272" cy="238079"/>
        </a:xfrm>
        <a:prstGeom prst="rect">
          <a:avLst/>
        </a:prstGeom>
        <a:noFill/>
        <a:ln w="9525">
          <a:noFill/>
          <a:miter lim="800000"/>
          <a:headEnd/>
          <a:tailEnd/>
        </a:ln>
      </xdr:spPr>
      <xdr:txBody>
        <a:bodyPr wrap="none" lIns="0" tIns="0" rIns="0" bIns="0" anchor="t" upright="1">
          <a:spAutoFit/>
        </a:bodyPr>
        <a:lstStyle/>
        <a:p>
          <a:pPr algn="l" rtl="0">
            <a:defRPr sz="1000"/>
          </a:pPr>
          <a:r>
            <a:rPr lang="de-DE" sz="1400" b="0" i="0" u="none" strike="noStrike" baseline="0">
              <a:solidFill>
                <a:srgbClr val="FF0000"/>
              </a:solidFill>
              <a:latin typeface="Futura Book"/>
            </a:rPr>
            <a:t> </a:t>
          </a:r>
        </a:p>
      </xdr:txBody>
    </xdr:sp>
    <xdr:clientData/>
  </xdr:oneCellAnchor>
  <xdr:twoCellAnchor editAs="oneCell">
    <xdr:from>
      <xdr:col>24</xdr:col>
      <xdr:colOff>33130</xdr:colOff>
      <xdr:row>1</xdr:row>
      <xdr:rowOff>8282</xdr:rowOff>
    </xdr:from>
    <xdr:to>
      <xdr:col>29</xdr:col>
      <xdr:colOff>140796</xdr:colOff>
      <xdr:row>3</xdr:row>
      <xdr:rowOff>18388</xdr:rowOff>
    </xdr:to>
    <xdr:pic>
      <xdr:nvPicPr>
        <xdr:cNvPr id="4" name="Grafik 3">
          <a:extLst>
            <a:ext uri="{FF2B5EF4-FFF2-40B4-BE49-F238E27FC236}">
              <a16:creationId xmlns:a16="http://schemas.microsoft.com/office/drawing/2014/main" id="{99DB4141-E4BD-4ECA-9209-ACD34CC518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6347" y="182217"/>
          <a:ext cx="1018753" cy="357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169252</xdr:colOff>
      <xdr:row>4</xdr:row>
      <xdr:rowOff>0</xdr:rowOff>
    </xdr:from>
    <xdr:ext cx="55272" cy="238079"/>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2000983" y="644769"/>
          <a:ext cx="55272" cy="238079"/>
        </a:xfrm>
        <a:prstGeom prst="rect">
          <a:avLst/>
        </a:prstGeom>
        <a:noFill/>
        <a:ln w="9525">
          <a:noFill/>
          <a:miter lim="800000"/>
          <a:headEnd/>
          <a:tailEnd/>
        </a:ln>
      </xdr:spPr>
      <xdr:txBody>
        <a:bodyPr wrap="none" lIns="0" tIns="0" rIns="0" bIns="0" anchor="t" upright="1">
          <a:spAutoFit/>
        </a:bodyPr>
        <a:lstStyle/>
        <a:p>
          <a:pPr algn="l" rtl="0">
            <a:defRPr sz="1000"/>
          </a:pPr>
          <a:r>
            <a:rPr lang="de-DE" sz="1400" b="0" i="0" u="none" strike="noStrike" baseline="0">
              <a:solidFill>
                <a:srgbClr val="FF0000"/>
              </a:solidFill>
              <a:latin typeface="Futura Book"/>
            </a:rPr>
            <a:t> </a:t>
          </a:r>
        </a:p>
      </xdr:txBody>
    </xdr:sp>
    <xdr:clientData/>
  </xdr:oneCellAnchor>
  <xdr:twoCellAnchor editAs="oneCell">
    <xdr:from>
      <xdr:col>24</xdr:col>
      <xdr:colOff>33130</xdr:colOff>
      <xdr:row>1</xdr:row>
      <xdr:rowOff>8282</xdr:rowOff>
    </xdr:from>
    <xdr:to>
      <xdr:col>29</xdr:col>
      <xdr:colOff>140796</xdr:colOff>
      <xdr:row>3</xdr:row>
      <xdr:rowOff>18388</xdr:rowOff>
    </xdr:to>
    <xdr:pic>
      <xdr:nvPicPr>
        <xdr:cNvPr id="4" name="Grafik 3">
          <a:extLst>
            <a:ext uri="{FF2B5EF4-FFF2-40B4-BE49-F238E27FC236}">
              <a16:creationId xmlns:a16="http://schemas.microsoft.com/office/drawing/2014/main" id="{B315A789-5475-4DE6-8B87-1DD6C8189A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6530" y="179732"/>
          <a:ext cx="1012541" cy="3530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33130</xdr:colOff>
      <xdr:row>2</xdr:row>
      <xdr:rowOff>8282</xdr:rowOff>
    </xdr:from>
    <xdr:to>
      <xdr:col>30</xdr:col>
      <xdr:colOff>140796</xdr:colOff>
      <xdr:row>4</xdr:row>
      <xdr:rowOff>18388</xdr:rowOff>
    </xdr:to>
    <xdr:pic>
      <xdr:nvPicPr>
        <xdr:cNvPr id="2" name="Grafik 1">
          <a:extLst>
            <a:ext uri="{FF2B5EF4-FFF2-40B4-BE49-F238E27FC236}">
              <a16:creationId xmlns:a16="http://schemas.microsoft.com/office/drawing/2014/main" id="{D5EF516E-017E-4BA9-8E1D-A9D39B96E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6530" y="179732"/>
          <a:ext cx="1012541" cy="35300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33130</xdr:colOff>
      <xdr:row>2</xdr:row>
      <xdr:rowOff>8282</xdr:rowOff>
    </xdr:from>
    <xdr:to>
      <xdr:col>30</xdr:col>
      <xdr:colOff>140796</xdr:colOff>
      <xdr:row>4</xdr:row>
      <xdr:rowOff>18388</xdr:rowOff>
    </xdr:to>
    <xdr:pic>
      <xdr:nvPicPr>
        <xdr:cNvPr id="3" name="Grafik 2">
          <a:extLst>
            <a:ext uri="{FF2B5EF4-FFF2-40B4-BE49-F238E27FC236}">
              <a16:creationId xmlns:a16="http://schemas.microsoft.com/office/drawing/2014/main" id="{7CB9D6BD-7D62-42B0-887F-7F7D3D681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7505" y="351182"/>
          <a:ext cx="1012541" cy="35300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25</xdr:col>
      <xdr:colOff>33130</xdr:colOff>
      <xdr:row>2</xdr:row>
      <xdr:rowOff>8282</xdr:rowOff>
    </xdr:from>
    <xdr:to>
      <xdr:col>30</xdr:col>
      <xdr:colOff>140796</xdr:colOff>
      <xdr:row>4</xdr:row>
      <xdr:rowOff>18388</xdr:rowOff>
    </xdr:to>
    <xdr:pic>
      <xdr:nvPicPr>
        <xdr:cNvPr id="3" name="Grafik 2">
          <a:extLst>
            <a:ext uri="{FF2B5EF4-FFF2-40B4-BE49-F238E27FC236}">
              <a16:creationId xmlns:a16="http://schemas.microsoft.com/office/drawing/2014/main" id="{4E4AA99C-1618-460E-B8ED-A22CAC772B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7505" y="351182"/>
          <a:ext cx="1012541" cy="353006"/>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FF"/>
  </sheetPr>
  <dimension ref="A1:DP155"/>
  <sheetViews>
    <sheetView showGridLines="0" tabSelected="1" zoomScale="110" zoomScaleNormal="110" zoomScaleSheetLayoutView="100" workbookViewId="0">
      <selection activeCell="BL18" sqref="BL18"/>
    </sheetView>
  </sheetViews>
  <sheetFormatPr baseColWidth="10" defaultColWidth="2.6640625" defaultRowHeight="13.5" customHeight="1"/>
  <cols>
    <col min="1" max="1" width="2.88671875" style="17" bestFit="1" customWidth="1"/>
    <col min="2" max="2" width="2.6640625" style="17"/>
    <col min="3" max="4" width="3" style="17" bestFit="1" customWidth="1"/>
    <col min="5" max="5" width="2.6640625" style="17" customWidth="1"/>
    <col min="6" max="25" width="2.6640625" style="17"/>
    <col min="26" max="27" width="2.6640625" style="16"/>
    <col min="28" max="28" width="7" style="16" bestFit="1" customWidth="1"/>
    <col min="29" max="120" width="2.6640625" style="16"/>
    <col min="121" max="16384" width="2.6640625" style="17"/>
  </cols>
  <sheetData>
    <row r="1" spans="1:54" ht="13.5" customHeight="1">
      <c r="A1" s="682" t="s">
        <v>259</v>
      </c>
      <c r="B1" s="683"/>
      <c r="C1" s="683"/>
      <c r="D1" s="683"/>
      <c r="E1" s="683"/>
      <c r="F1" s="683"/>
      <c r="G1" s="683"/>
      <c r="H1" s="683"/>
      <c r="I1" s="683"/>
      <c r="J1" s="683"/>
      <c r="K1" s="683"/>
      <c r="L1" s="683"/>
      <c r="M1" s="683"/>
      <c r="N1" s="683"/>
      <c r="O1" s="683"/>
      <c r="P1" s="683"/>
      <c r="Q1" s="683"/>
      <c r="R1" s="683"/>
      <c r="S1" s="683"/>
      <c r="T1" s="683"/>
      <c r="U1" s="1530"/>
      <c r="V1" s="1531"/>
      <c r="W1" s="1531"/>
      <c r="X1" s="1531"/>
      <c r="Y1" s="1532"/>
      <c r="Z1" s="1536"/>
      <c r="AA1" s="1537"/>
      <c r="AB1" s="1523" t="s">
        <v>2</v>
      </c>
      <c r="AC1" s="1523"/>
      <c r="AD1" s="1523"/>
      <c r="AE1" s="1523"/>
      <c r="AF1" s="1527"/>
    </row>
    <row r="2" spans="1:54" ht="13.5" customHeight="1">
      <c r="A2" s="685"/>
      <c r="B2" s="686"/>
      <c r="C2" s="686"/>
      <c r="D2" s="686"/>
      <c r="E2" s="686"/>
      <c r="F2" s="686"/>
      <c r="G2" s="686"/>
      <c r="H2" s="686"/>
      <c r="I2" s="686"/>
      <c r="J2" s="686"/>
      <c r="K2" s="686"/>
      <c r="L2" s="686"/>
      <c r="M2" s="686"/>
      <c r="N2" s="686"/>
      <c r="O2" s="686"/>
      <c r="P2" s="686"/>
      <c r="Q2" s="686"/>
      <c r="R2" s="686"/>
      <c r="S2" s="686"/>
      <c r="T2" s="686"/>
      <c r="U2" s="1530"/>
      <c r="V2" s="1531"/>
      <c r="W2" s="1531"/>
      <c r="X2" s="1531"/>
      <c r="Y2" s="1532"/>
      <c r="Z2" s="1536"/>
      <c r="AA2" s="1538"/>
      <c r="AB2" s="1524"/>
      <c r="AC2" s="1524"/>
      <c r="AD2" s="1524"/>
      <c r="AE2" s="1524"/>
      <c r="AF2" s="1528"/>
    </row>
    <row r="3" spans="1:54" ht="13.5" customHeight="1">
      <c r="A3" s="688"/>
      <c r="B3" s="689"/>
      <c r="C3" s="689"/>
      <c r="D3" s="689"/>
      <c r="E3" s="689"/>
      <c r="F3" s="689"/>
      <c r="G3" s="689"/>
      <c r="H3" s="689"/>
      <c r="I3" s="689"/>
      <c r="J3" s="689"/>
      <c r="K3" s="689"/>
      <c r="L3" s="689"/>
      <c r="M3" s="689"/>
      <c r="N3" s="689"/>
      <c r="O3" s="689"/>
      <c r="P3" s="689"/>
      <c r="Q3" s="689"/>
      <c r="R3" s="689"/>
      <c r="S3" s="689"/>
      <c r="T3" s="689"/>
      <c r="U3" s="1533"/>
      <c r="V3" s="1534"/>
      <c r="W3" s="1534"/>
      <c r="X3" s="1534"/>
      <c r="Y3" s="1535"/>
      <c r="Z3" s="1535"/>
      <c r="AA3" s="1539"/>
      <c r="AB3" s="1526"/>
      <c r="AC3" s="1526"/>
      <c r="AD3" s="1526"/>
      <c r="AE3" s="1526"/>
      <c r="AF3" s="1529"/>
    </row>
    <row r="4" spans="1:54" ht="13.5" customHeight="1">
      <c r="A4" s="1525" t="str">
        <f ca="1">MID(CELL("Dateiname",$A$4),FIND("]",CELL("Dateiname",$A$4))+1,31)</f>
        <v>Hinweise</v>
      </c>
      <c r="B4" s="1540" t="s">
        <v>20</v>
      </c>
      <c r="C4" s="1540"/>
      <c r="D4" s="1540"/>
      <c r="E4" s="1540"/>
      <c r="F4" s="1540"/>
      <c r="G4" s="1540"/>
      <c r="H4" s="1540"/>
      <c r="I4" s="1540"/>
      <c r="J4" s="1540"/>
      <c r="K4" s="1540"/>
      <c r="L4" s="1540"/>
      <c r="M4" s="1540"/>
      <c r="N4" s="1540"/>
      <c r="O4" s="1540"/>
      <c r="P4" s="1540"/>
      <c r="Q4" s="1540"/>
      <c r="R4" s="1540"/>
      <c r="S4" s="1540"/>
      <c r="T4" s="1540"/>
      <c r="U4" s="1540"/>
      <c r="V4" s="1540"/>
      <c r="W4" s="1540"/>
      <c r="X4" s="1540"/>
      <c r="Y4" s="19"/>
      <c r="Z4" s="19"/>
      <c r="AA4" s="19"/>
      <c r="AB4" s="19"/>
      <c r="AC4" s="19"/>
      <c r="AD4" s="19"/>
      <c r="AE4" s="19"/>
      <c r="AF4" s="20"/>
    </row>
    <row r="5" spans="1:54" ht="13.5" customHeight="1" thickBot="1">
      <c r="A5" s="18"/>
      <c r="B5" s="1540"/>
      <c r="C5" s="1540"/>
      <c r="D5" s="1540"/>
      <c r="E5" s="1540"/>
      <c r="F5" s="1540"/>
      <c r="G5" s="1540"/>
      <c r="H5" s="1540"/>
      <c r="I5" s="1540"/>
      <c r="J5" s="1540"/>
      <c r="K5" s="1540"/>
      <c r="L5" s="1540"/>
      <c r="M5" s="1540"/>
      <c r="N5" s="1540"/>
      <c r="O5" s="1540"/>
      <c r="P5" s="1540"/>
      <c r="Q5" s="1540"/>
      <c r="R5" s="1540"/>
      <c r="S5" s="1540"/>
      <c r="T5" s="1540"/>
      <c r="U5" s="1540"/>
      <c r="V5" s="1540"/>
      <c r="W5" s="1540"/>
      <c r="X5" s="1540"/>
      <c r="Y5" s="19"/>
      <c r="Z5" s="19"/>
      <c r="AA5" s="19"/>
      <c r="AB5" s="19"/>
      <c r="AC5" s="19"/>
      <c r="AD5" s="19"/>
      <c r="AE5" s="19"/>
      <c r="AF5" s="20"/>
    </row>
    <row r="6" spans="1:54" ht="13.5" customHeight="1" thickTop="1">
      <c r="A6" s="18"/>
      <c r="B6" s="678" t="s">
        <v>164</v>
      </c>
      <c r="C6" s="678"/>
      <c r="D6" s="678"/>
      <c r="E6" s="678"/>
      <c r="F6" s="678"/>
      <c r="G6" s="678"/>
      <c r="H6" s="678"/>
      <c r="I6" s="678"/>
      <c r="J6" s="678"/>
      <c r="K6" s="678"/>
      <c r="L6" s="678"/>
      <c r="M6" s="678"/>
      <c r="N6" s="678"/>
      <c r="O6" s="678"/>
      <c r="P6" s="678"/>
      <c r="Q6" s="678"/>
      <c r="R6" s="678"/>
      <c r="S6" s="678"/>
      <c r="T6" s="678"/>
      <c r="U6" s="678"/>
      <c r="V6" s="678"/>
      <c r="W6" s="678"/>
      <c r="X6" s="678"/>
      <c r="Y6" s="678"/>
      <c r="Z6" s="678"/>
      <c r="AA6" s="678"/>
      <c r="AB6" s="678"/>
      <c r="AC6" s="678"/>
      <c r="AD6" s="678"/>
      <c r="AE6" s="678"/>
      <c r="AF6" s="20"/>
      <c r="AH6" s="655" t="s">
        <v>264</v>
      </c>
      <c r="AI6" s="674" t="s">
        <v>265</v>
      </c>
      <c r="AJ6" s="626"/>
      <c r="AK6" s="626"/>
      <c r="AL6" s="626"/>
      <c r="AM6" s="626"/>
      <c r="AN6" s="626"/>
      <c r="AO6" s="626"/>
      <c r="AP6" s="626"/>
      <c r="AQ6" s="626"/>
      <c r="AR6" s="626"/>
      <c r="AS6" s="626"/>
      <c r="AT6" s="626"/>
      <c r="AU6" s="626"/>
      <c r="AV6" s="626"/>
      <c r="AW6" s="627"/>
      <c r="AX6" s="627"/>
      <c r="AY6" s="627"/>
      <c r="AZ6" s="627"/>
      <c r="BA6" s="627"/>
      <c r="BB6" s="628"/>
    </row>
    <row r="7" spans="1:54" ht="13.5" customHeight="1">
      <c r="A7" s="18"/>
      <c r="B7" s="678"/>
      <c r="C7" s="678"/>
      <c r="D7" s="678"/>
      <c r="E7" s="678"/>
      <c r="F7" s="678"/>
      <c r="G7" s="678"/>
      <c r="H7" s="678"/>
      <c r="I7" s="678"/>
      <c r="J7" s="678"/>
      <c r="K7" s="678"/>
      <c r="L7" s="678"/>
      <c r="M7" s="678"/>
      <c r="N7" s="678"/>
      <c r="O7" s="678"/>
      <c r="P7" s="678"/>
      <c r="Q7" s="678"/>
      <c r="R7" s="678"/>
      <c r="S7" s="678"/>
      <c r="T7" s="678"/>
      <c r="U7" s="678"/>
      <c r="V7" s="678"/>
      <c r="W7" s="678"/>
      <c r="X7" s="678"/>
      <c r="Y7" s="678"/>
      <c r="Z7" s="678"/>
      <c r="AA7" s="678"/>
      <c r="AB7" s="678"/>
      <c r="AC7" s="678"/>
      <c r="AD7" s="678"/>
      <c r="AE7" s="678"/>
      <c r="AF7" s="20"/>
      <c r="AH7" s="656"/>
      <c r="AI7" s="657" t="s">
        <v>266</v>
      </c>
      <c r="AJ7" s="658"/>
      <c r="AK7" s="658"/>
      <c r="AL7" s="658"/>
      <c r="AM7" s="658"/>
      <c r="AN7" s="658"/>
      <c r="AO7" s="658"/>
      <c r="AP7" s="658"/>
      <c r="AQ7" s="658"/>
      <c r="AR7" s="658"/>
      <c r="AS7" s="658"/>
      <c r="AT7" s="658"/>
      <c r="AU7" s="658"/>
      <c r="AV7" s="658"/>
      <c r="AW7" s="659"/>
      <c r="AX7" s="659"/>
      <c r="AY7" s="659"/>
      <c r="AZ7" s="659"/>
      <c r="BA7" s="659"/>
      <c r="BB7" s="660"/>
    </row>
    <row r="8" spans="1:54" ht="13.5" customHeight="1">
      <c r="A8" s="18"/>
      <c r="B8" s="678"/>
      <c r="C8" s="678"/>
      <c r="D8" s="678"/>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20"/>
      <c r="AH8" s="675" t="s">
        <v>60</v>
      </c>
      <c r="AI8" s="676"/>
      <c r="AJ8" s="676"/>
      <c r="AK8" s="676"/>
      <c r="AL8" s="676"/>
      <c r="AM8" s="676"/>
      <c r="AN8" s="676"/>
      <c r="AO8" s="676"/>
      <c r="AP8" s="676"/>
      <c r="AQ8" s="676"/>
      <c r="AR8" s="676"/>
      <c r="AS8" s="676"/>
      <c r="AT8" s="676"/>
      <c r="AU8" s="676"/>
      <c r="AV8" s="676"/>
      <c r="AW8" s="676"/>
      <c r="AX8" s="676"/>
      <c r="AY8" s="676"/>
      <c r="AZ8" s="676"/>
      <c r="BA8" s="676"/>
      <c r="BB8" s="677"/>
    </row>
    <row r="9" spans="1:54" ht="13.5" customHeight="1">
      <c r="A9" s="18"/>
      <c r="B9" s="679" t="s">
        <v>165</v>
      </c>
      <c r="C9" s="679"/>
      <c r="D9" s="679"/>
      <c r="E9" s="679"/>
      <c r="F9" s="679"/>
      <c r="G9" s="679"/>
      <c r="H9" s="679"/>
      <c r="I9" s="679"/>
      <c r="J9" s="679"/>
      <c r="K9" s="679"/>
      <c r="L9" s="679"/>
      <c r="M9" s="679"/>
      <c r="N9" s="679"/>
      <c r="O9" s="679"/>
      <c r="P9" s="679"/>
      <c r="Q9" s="679"/>
      <c r="R9" s="679"/>
      <c r="S9" s="679"/>
      <c r="T9" s="679"/>
      <c r="U9" s="679"/>
      <c r="V9" s="679"/>
      <c r="W9" s="679"/>
      <c r="X9" s="679"/>
      <c r="Y9" s="679"/>
      <c r="Z9" s="679"/>
      <c r="AA9" s="679"/>
      <c r="AB9" s="679"/>
      <c r="AC9" s="679"/>
      <c r="AD9" s="679"/>
      <c r="AE9" s="679"/>
      <c r="AF9" s="20"/>
      <c r="AH9" s="675"/>
      <c r="AI9" s="676"/>
      <c r="AJ9" s="676"/>
      <c r="AK9" s="676"/>
      <c r="AL9" s="676"/>
      <c r="AM9" s="676"/>
      <c r="AN9" s="676"/>
      <c r="AO9" s="676"/>
      <c r="AP9" s="676"/>
      <c r="AQ9" s="676"/>
      <c r="AR9" s="676"/>
      <c r="AS9" s="676"/>
      <c r="AT9" s="676"/>
      <c r="AU9" s="676"/>
      <c r="AV9" s="676"/>
      <c r="AW9" s="676"/>
      <c r="AX9" s="676"/>
      <c r="AY9" s="676"/>
      <c r="AZ9" s="676"/>
      <c r="BA9" s="676"/>
      <c r="BB9" s="677"/>
    </row>
    <row r="10" spans="1:54" ht="13.5" customHeight="1">
      <c r="A10" s="18"/>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0"/>
      <c r="AH10" s="675"/>
      <c r="AI10" s="676"/>
      <c r="AJ10" s="676"/>
      <c r="AK10" s="676"/>
      <c r="AL10" s="676"/>
      <c r="AM10" s="676"/>
      <c r="AN10" s="676"/>
      <c r="AO10" s="676"/>
      <c r="AP10" s="676"/>
      <c r="AQ10" s="676"/>
      <c r="AR10" s="676"/>
      <c r="AS10" s="676"/>
      <c r="AT10" s="676"/>
      <c r="AU10" s="676"/>
      <c r="AV10" s="676"/>
      <c r="AW10" s="676"/>
      <c r="AX10" s="676"/>
      <c r="AY10" s="676"/>
      <c r="AZ10" s="676"/>
      <c r="BA10" s="676"/>
      <c r="BB10" s="677"/>
    </row>
    <row r="11" spans="1:54" ht="13.5" customHeight="1">
      <c r="A11" s="18"/>
      <c r="B11" s="19"/>
      <c r="C11" s="23" t="s">
        <v>21</v>
      </c>
      <c r="D11" s="19"/>
      <c r="E11" s="19"/>
      <c r="F11" s="19"/>
      <c r="G11" s="21"/>
      <c r="H11" s="24"/>
      <c r="I11" s="24"/>
      <c r="J11" s="19" t="s">
        <v>22</v>
      </c>
      <c r="K11" s="19"/>
      <c r="L11" s="19"/>
      <c r="M11" s="19"/>
      <c r="N11" s="19"/>
      <c r="O11" s="19"/>
      <c r="P11" s="19"/>
      <c r="Q11" s="19"/>
      <c r="R11" s="19"/>
      <c r="S11" s="19"/>
      <c r="T11" s="19"/>
      <c r="U11" s="19"/>
      <c r="V11" s="19"/>
      <c r="W11" s="19"/>
      <c r="X11" s="19"/>
      <c r="Y11" s="19"/>
      <c r="Z11" s="19"/>
      <c r="AA11" s="19"/>
      <c r="AB11" s="19"/>
      <c r="AC11" s="19"/>
      <c r="AD11" s="19"/>
      <c r="AE11" s="19"/>
      <c r="AF11" s="20"/>
      <c r="AH11" s="675"/>
      <c r="AI11" s="676"/>
      <c r="AJ11" s="676"/>
      <c r="AK11" s="676"/>
      <c r="AL11" s="676"/>
      <c r="AM11" s="676"/>
      <c r="AN11" s="676"/>
      <c r="AO11" s="676"/>
      <c r="AP11" s="676"/>
      <c r="AQ11" s="676"/>
      <c r="AR11" s="676"/>
      <c r="AS11" s="676"/>
      <c r="AT11" s="676"/>
      <c r="AU11" s="676"/>
      <c r="AV11" s="676"/>
      <c r="AW11" s="676"/>
      <c r="AX11" s="676"/>
      <c r="AY11" s="676"/>
      <c r="AZ11" s="676"/>
      <c r="BA11" s="676"/>
      <c r="BB11" s="677"/>
    </row>
    <row r="12" spans="1:54" ht="13.5" customHeight="1">
      <c r="A12" s="18"/>
      <c r="B12" s="21"/>
      <c r="C12" s="23" t="s">
        <v>23</v>
      </c>
      <c r="D12" s="19"/>
      <c r="E12" s="19"/>
      <c r="F12" s="19"/>
      <c r="G12" s="19"/>
      <c r="H12" s="25"/>
      <c r="I12" s="25"/>
      <c r="J12" s="19" t="s">
        <v>24</v>
      </c>
      <c r="K12" s="19"/>
      <c r="L12" s="19"/>
      <c r="M12" s="19"/>
      <c r="N12" s="19"/>
      <c r="O12" s="19"/>
      <c r="P12" s="19"/>
      <c r="Q12" s="19"/>
      <c r="R12" s="19"/>
      <c r="S12" s="19"/>
      <c r="T12" s="19"/>
      <c r="U12" s="19"/>
      <c r="V12" s="19"/>
      <c r="W12" s="19"/>
      <c r="X12" s="19"/>
      <c r="Y12" s="19"/>
      <c r="Z12" s="19"/>
      <c r="AA12" s="19"/>
      <c r="AB12" s="19"/>
      <c r="AC12" s="19"/>
      <c r="AD12" s="21"/>
      <c r="AE12" s="21"/>
      <c r="AF12" s="20"/>
      <c r="AH12" s="629"/>
      <c r="AI12" s="72"/>
      <c r="AJ12" s="72"/>
      <c r="AK12" s="72"/>
      <c r="AL12" s="72"/>
      <c r="AM12" s="72"/>
      <c r="AN12" s="72"/>
      <c r="AO12" s="72"/>
      <c r="AP12" s="72"/>
      <c r="AQ12" s="72"/>
      <c r="AR12" s="72"/>
      <c r="AS12" s="72"/>
      <c r="AT12" s="72"/>
      <c r="AU12" s="72"/>
      <c r="AV12" s="72"/>
      <c r="AW12" s="73"/>
      <c r="AX12" s="73"/>
      <c r="AY12" s="73"/>
      <c r="AZ12" s="73"/>
      <c r="BA12" s="73"/>
      <c r="BB12" s="630"/>
    </row>
    <row r="13" spans="1:54" ht="13.5" customHeight="1">
      <c r="A13" s="18"/>
      <c r="B13" s="21"/>
      <c r="C13" s="23" t="s">
        <v>25</v>
      </c>
      <c r="D13" s="19"/>
      <c r="E13" s="19"/>
      <c r="F13" s="19"/>
      <c r="G13" s="21"/>
      <c r="H13" s="26"/>
      <c r="I13" s="27"/>
      <c r="J13" s="19" t="s">
        <v>26</v>
      </c>
      <c r="K13" s="19"/>
      <c r="L13" s="19"/>
      <c r="M13" s="19"/>
      <c r="N13" s="19"/>
      <c r="O13" s="19"/>
      <c r="P13" s="19"/>
      <c r="Q13" s="19"/>
      <c r="R13" s="19"/>
      <c r="S13" s="19"/>
      <c r="T13" s="19"/>
      <c r="U13" s="19"/>
      <c r="V13" s="19"/>
      <c r="W13" s="19"/>
      <c r="X13" s="19"/>
      <c r="Y13" s="19"/>
      <c r="Z13" s="19"/>
      <c r="AA13" s="19"/>
      <c r="AB13" s="19"/>
      <c r="AC13" s="19"/>
      <c r="AD13" s="21"/>
      <c r="AE13" s="21"/>
      <c r="AF13" s="20"/>
      <c r="AH13" s="675" t="s">
        <v>255</v>
      </c>
      <c r="AI13" s="676"/>
      <c r="AJ13" s="676"/>
      <c r="AK13" s="676"/>
      <c r="AL13" s="676"/>
      <c r="AM13" s="676"/>
      <c r="AN13" s="676"/>
      <c r="AO13" s="676"/>
      <c r="AP13" s="676"/>
      <c r="AQ13" s="676"/>
      <c r="AR13" s="676"/>
      <c r="AS13" s="676"/>
      <c r="AT13" s="676"/>
      <c r="AU13" s="676"/>
      <c r="AV13" s="676"/>
      <c r="AW13" s="676"/>
      <c r="AX13" s="676"/>
      <c r="AY13" s="676"/>
      <c r="AZ13" s="676"/>
      <c r="BA13" s="676"/>
      <c r="BB13" s="677"/>
    </row>
    <row r="14" spans="1:54" ht="13.5" customHeight="1">
      <c r="A14" s="18"/>
      <c r="B14" s="21"/>
      <c r="C14" s="19"/>
      <c r="D14" s="19"/>
      <c r="E14" s="19"/>
      <c r="F14" s="19"/>
      <c r="G14" s="19"/>
      <c r="H14" s="19"/>
      <c r="I14" s="19"/>
      <c r="J14" s="19" t="s">
        <v>27</v>
      </c>
      <c r="K14" s="19"/>
      <c r="L14" s="19"/>
      <c r="M14" s="19"/>
      <c r="N14" s="19"/>
      <c r="O14" s="19"/>
      <c r="P14" s="19"/>
      <c r="Q14" s="19"/>
      <c r="R14" s="19"/>
      <c r="S14" s="19"/>
      <c r="T14" s="19"/>
      <c r="U14" s="19"/>
      <c r="V14" s="19"/>
      <c r="W14" s="19"/>
      <c r="X14" s="19"/>
      <c r="Y14" s="19"/>
      <c r="Z14" s="19"/>
      <c r="AA14" s="19"/>
      <c r="AB14" s="19"/>
      <c r="AC14" s="19"/>
      <c r="AD14" s="21"/>
      <c r="AE14" s="21"/>
      <c r="AF14" s="20"/>
      <c r="AH14" s="675"/>
      <c r="AI14" s="676"/>
      <c r="AJ14" s="676"/>
      <c r="AK14" s="676"/>
      <c r="AL14" s="676"/>
      <c r="AM14" s="676"/>
      <c r="AN14" s="676"/>
      <c r="AO14" s="676"/>
      <c r="AP14" s="676"/>
      <c r="AQ14" s="676"/>
      <c r="AR14" s="676"/>
      <c r="AS14" s="676"/>
      <c r="AT14" s="676"/>
      <c r="AU14" s="676"/>
      <c r="AV14" s="676"/>
      <c r="AW14" s="676"/>
      <c r="AX14" s="676"/>
      <c r="AY14" s="676"/>
      <c r="AZ14" s="676"/>
      <c r="BA14" s="676"/>
      <c r="BB14" s="677"/>
    </row>
    <row r="15" spans="1:54" ht="13.5" customHeight="1">
      <c r="A15" s="18"/>
      <c r="B15" s="21"/>
      <c r="C15" s="28" t="s">
        <v>28</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21"/>
      <c r="AE15" s="21"/>
      <c r="AF15" s="20"/>
      <c r="AH15" s="675"/>
      <c r="AI15" s="676"/>
      <c r="AJ15" s="676"/>
      <c r="AK15" s="676"/>
      <c r="AL15" s="676"/>
      <c r="AM15" s="676"/>
      <c r="AN15" s="676"/>
      <c r="AO15" s="676"/>
      <c r="AP15" s="676"/>
      <c r="AQ15" s="676"/>
      <c r="AR15" s="676"/>
      <c r="AS15" s="676"/>
      <c r="AT15" s="676"/>
      <c r="AU15" s="676"/>
      <c r="AV15" s="676"/>
      <c r="AW15" s="676"/>
      <c r="AX15" s="676"/>
      <c r="AY15" s="676"/>
      <c r="AZ15" s="676"/>
      <c r="BA15" s="676"/>
      <c r="BB15" s="677"/>
    </row>
    <row r="16" spans="1:54" ht="13.5" customHeight="1">
      <c r="A16" s="18"/>
      <c r="B16" s="29" t="s">
        <v>40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0"/>
      <c r="AH16" s="675"/>
      <c r="AI16" s="676"/>
      <c r="AJ16" s="676"/>
      <c r="AK16" s="676"/>
      <c r="AL16" s="676"/>
      <c r="AM16" s="676"/>
      <c r="AN16" s="676"/>
      <c r="AO16" s="676"/>
      <c r="AP16" s="676"/>
      <c r="AQ16" s="676"/>
      <c r="AR16" s="676"/>
      <c r="AS16" s="676"/>
      <c r="AT16" s="676"/>
      <c r="AU16" s="676"/>
      <c r="AV16" s="676"/>
      <c r="AW16" s="676"/>
      <c r="AX16" s="676"/>
      <c r="AY16" s="676"/>
      <c r="AZ16" s="676"/>
      <c r="BA16" s="676"/>
      <c r="BB16" s="677"/>
    </row>
    <row r="17" spans="1:54" ht="13.5" customHeight="1">
      <c r="A17" s="18"/>
      <c r="B17" s="680" t="s">
        <v>166</v>
      </c>
      <c r="C17" s="680"/>
      <c r="D17" s="680"/>
      <c r="E17" s="680"/>
      <c r="F17" s="680"/>
      <c r="G17" s="680"/>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20"/>
      <c r="AH17" s="672"/>
      <c r="AI17" s="666"/>
      <c r="AJ17" s="666"/>
      <c r="AK17" s="666"/>
      <c r="AL17" s="666"/>
      <c r="AM17" s="666"/>
      <c r="AN17" s="666"/>
      <c r="AO17" s="666"/>
      <c r="AP17" s="666"/>
      <c r="AQ17" s="666"/>
      <c r="AR17" s="666"/>
      <c r="AS17" s="666"/>
      <c r="AT17" s="666"/>
      <c r="AU17" s="666"/>
      <c r="AV17" s="666"/>
      <c r="AW17" s="667"/>
      <c r="AX17" s="667"/>
      <c r="AY17" s="667"/>
      <c r="AZ17" s="667"/>
      <c r="BA17" s="667"/>
      <c r="BB17" s="673"/>
    </row>
    <row r="18" spans="1:54" ht="15" customHeight="1">
      <c r="A18" s="18"/>
      <c r="B18" s="680"/>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20"/>
      <c r="AH18" s="675" t="s">
        <v>59</v>
      </c>
      <c r="AI18" s="676"/>
      <c r="AJ18" s="676"/>
      <c r="AK18" s="676"/>
      <c r="AL18" s="676"/>
      <c r="AM18" s="676"/>
      <c r="AN18" s="676"/>
      <c r="AO18" s="676"/>
      <c r="AP18" s="676"/>
      <c r="AQ18" s="676"/>
      <c r="AR18" s="676"/>
      <c r="AS18" s="676"/>
      <c r="AT18" s="676"/>
      <c r="AU18" s="676"/>
      <c r="AV18" s="676"/>
      <c r="AW18" s="676"/>
      <c r="AX18" s="676"/>
      <c r="AY18" s="676"/>
      <c r="AZ18" s="676"/>
      <c r="BA18" s="676"/>
      <c r="BB18" s="677"/>
    </row>
    <row r="19" spans="1:54" ht="15" customHeight="1">
      <c r="A19" s="18"/>
      <c r="B19" s="680"/>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20"/>
      <c r="AH19" s="675"/>
      <c r="AI19" s="676"/>
      <c r="AJ19" s="676"/>
      <c r="AK19" s="676"/>
      <c r="AL19" s="676"/>
      <c r="AM19" s="676"/>
      <c r="AN19" s="676"/>
      <c r="AO19" s="676"/>
      <c r="AP19" s="676"/>
      <c r="AQ19" s="676"/>
      <c r="AR19" s="676"/>
      <c r="AS19" s="676"/>
      <c r="AT19" s="676"/>
      <c r="AU19" s="676"/>
      <c r="AV19" s="676"/>
      <c r="AW19" s="676"/>
      <c r="AX19" s="676"/>
      <c r="AY19" s="676"/>
      <c r="AZ19" s="676"/>
      <c r="BA19" s="676"/>
      <c r="BB19" s="677"/>
    </row>
    <row r="20" spans="1:54" ht="13.5" customHeight="1">
      <c r="A20" s="18"/>
      <c r="B20" s="680"/>
      <c r="C20" s="680"/>
      <c r="D20" s="680"/>
      <c r="E20" s="680"/>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20"/>
      <c r="AH20" s="672"/>
      <c r="AI20" s="666"/>
      <c r="AJ20" s="666"/>
      <c r="AK20" s="666"/>
      <c r="AL20" s="666"/>
      <c r="AM20" s="666"/>
      <c r="AN20" s="666"/>
      <c r="AO20" s="666"/>
      <c r="AP20" s="666"/>
      <c r="AQ20" s="666"/>
      <c r="AR20" s="666"/>
      <c r="AS20" s="666"/>
      <c r="AT20" s="666"/>
      <c r="AU20" s="666"/>
      <c r="AV20" s="666"/>
      <c r="AW20" s="667"/>
      <c r="AX20" s="667"/>
      <c r="AY20" s="667"/>
      <c r="AZ20" s="667"/>
      <c r="BA20" s="667"/>
      <c r="BB20" s="673"/>
    </row>
    <row r="21" spans="1:54" ht="15" customHeight="1">
      <c r="A21" s="18"/>
      <c r="B21" s="680" t="s">
        <v>167</v>
      </c>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20"/>
      <c r="AH21" s="675" t="s">
        <v>58</v>
      </c>
      <c r="AI21" s="676"/>
      <c r="AJ21" s="676"/>
      <c r="AK21" s="676"/>
      <c r="AL21" s="676"/>
      <c r="AM21" s="676"/>
      <c r="AN21" s="676"/>
      <c r="AO21" s="676"/>
      <c r="AP21" s="676"/>
      <c r="AQ21" s="676"/>
      <c r="AR21" s="676"/>
      <c r="AS21" s="676"/>
      <c r="AT21" s="676"/>
      <c r="AU21" s="676"/>
      <c r="AV21" s="676"/>
      <c r="AW21" s="676"/>
      <c r="AX21" s="676"/>
      <c r="AY21" s="676"/>
      <c r="AZ21" s="676"/>
      <c r="BA21" s="676"/>
      <c r="BB21" s="677"/>
    </row>
    <row r="22" spans="1:54" ht="15" customHeight="1">
      <c r="A22" s="18"/>
      <c r="B22" s="680"/>
      <c r="C22" s="680"/>
      <c r="D22" s="680"/>
      <c r="E22" s="680"/>
      <c r="F22" s="680"/>
      <c r="G22" s="680"/>
      <c r="H22" s="680"/>
      <c r="I22" s="680"/>
      <c r="J22" s="680"/>
      <c r="K22" s="680"/>
      <c r="L22" s="680"/>
      <c r="M22" s="680"/>
      <c r="N22" s="680"/>
      <c r="O22" s="680"/>
      <c r="P22" s="680"/>
      <c r="Q22" s="680"/>
      <c r="R22" s="680"/>
      <c r="S22" s="680"/>
      <c r="T22" s="680"/>
      <c r="U22" s="680"/>
      <c r="V22" s="680"/>
      <c r="W22" s="680"/>
      <c r="X22" s="680"/>
      <c r="Y22" s="680"/>
      <c r="Z22" s="680"/>
      <c r="AA22" s="680"/>
      <c r="AB22" s="680"/>
      <c r="AC22" s="680"/>
      <c r="AD22" s="680"/>
      <c r="AE22" s="680"/>
      <c r="AF22" s="20"/>
      <c r="AH22" s="675"/>
      <c r="AI22" s="676"/>
      <c r="AJ22" s="676"/>
      <c r="AK22" s="676"/>
      <c r="AL22" s="676"/>
      <c r="AM22" s="676"/>
      <c r="AN22" s="676"/>
      <c r="AO22" s="676"/>
      <c r="AP22" s="676"/>
      <c r="AQ22" s="676"/>
      <c r="AR22" s="676"/>
      <c r="AS22" s="676"/>
      <c r="AT22" s="676"/>
      <c r="AU22" s="676"/>
      <c r="AV22" s="676"/>
      <c r="AW22" s="676"/>
      <c r="AX22" s="676"/>
      <c r="AY22" s="676"/>
      <c r="AZ22" s="676"/>
      <c r="BA22" s="676"/>
      <c r="BB22" s="677"/>
    </row>
    <row r="23" spans="1:54" ht="13.5" customHeight="1">
      <c r="A23" s="18"/>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20"/>
      <c r="AH23" s="672"/>
      <c r="AI23" s="666"/>
      <c r="AJ23" s="666"/>
      <c r="AK23" s="666"/>
      <c r="AL23" s="666"/>
      <c r="AM23" s="666"/>
      <c r="AN23" s="666"/>
      <c r="AO23" s="666"/>
      <c r="AP23" s="666"/>
      <c r="AQ23" s="666"/>
      <c r="AR23" s="666"/>
      <c r="AS23" s="666"/>
      <c r="AT23" s="666"/>
      <c r="AU23" s="666"/>
      <c r="AV23" s="666"/>
      <c r="AW23" s="667"/>
      <c r="AX23" s="667"/>
      <c r="AY23" s="667"/>
      <c r="AZ23" s="667"/>
      <c r="BA23" s="667"/>
      <c r="BB23" s="673"/>
    </row>
    <row r="24" spans="1:54" ht="13.5" customHeight="1">
      <c r="A24" s="18"/>
      <c r="B24" s="55" t="s">
        <v>171</v>
      </c>
      <c r="Z24" s="17"/>
      <c r="AA24" s="17"/>
      <c r="AB24" s="17"/>
      <c r="AC24" s="17"/>
      <c r="AD24" s="17"/>
      <c r="AE24" s="17"/>
      <c r="AF24" s="20"/>
      <c r="AH24" s="675" t="s">
        <v>267</v>
      </c>
      <c r="AI24" s="676"/>
      <c r="AJ24" s="676"/>
      <c r="AK24" s="676"/>
      <c r="AL24" s="676"/>
      <c r="AM24" s="676"/>
      <c r="AN24" s="676"/>
      <c r="AO24" s="676"/>
      <c r="AP24" s="676"/>
      <c r="AQ24" s="676"/>
      <c r="AR24" s="676"/>
      <c r="AS24" s="676"/>
      <c r="AT24" s="676"/>
      <c r="AU24" s="676"/>
      <c r="AV24" s="676"/>
      <c r="AW24" s="676"/>
      <c r="AX24" s="676"/>
      <c r="AY24" s="676"/>
      <c r="AZ24" s="676"/>
      <c r="BA24" s="676"/>
      <c r="BB24" s="677"/>
    </row>
    <row r="25" spans="1:54" ht="13.5" customHeight="1">
      <c r="A25" s="18"/>
      <c r="B25" s="679" t="s">
        <v>168</v>
      </c>
      <c r="C25" s="679"/>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20"/>
      <c r="AH25" s="675"/>
      <c r="AI25" s="676"/>
      <c r="AJ25" s="676"/>
      <c r="AK25" s="676"/>
      <c r="AL25" s="676"/>
      <c r="AM25" s="676"/>
      <c r="AN25" s="676"/>
      <c r="AO25" s="676"/>
      <c r="AP25" s="676"/>
      <c r="AQ25" s="676"/>
      <c r="AR25" s="676"/>
      <c r="AS25" s="676"/>
      <c r="AT25" s="676"/>
      <c r="AU25" s="676"/>
      <c r="AV25" s="676"/>
      <c r="AW25" s="676"/>
      <c r="AX25" s="676"/>
      <c r="AY25" s="676"/>
      <c r="AZ25" s="676"/>
      <c r="BA25" s="676"/>
      <c r="BB25" s="677"/>
    </row>
    <row r="26" spans="1:54" ht="13.5" customHeight="1">
      <c r="A26" s="18"/>
      <c r="B26" s="679"/>
      <c r="C26" s="679"/>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20"/>
      <c r="AH26" s="675"/>
      <c r="AI26" s="676"/>
      <c r="AJ26" s="676"/>
      <c r="AK26" s="676"/>
      <c r="AL26" s="676"/>
      <c r="AM26" s="676"/>
      <c r="AN26" s="676"/>
      <c r="AO26" s="676"/>
      <c r="AP26" s="676"/>
      <c r="AQ26" s="676"/>
      <c r="AR26" s="676"/>
      <c r="AS26" s="676"/>
      <c r="AT26" s="676"/>
      <c r="AU26" s="676"/>
      <c r="AV26" s="676"/>
      <c r="AW26" s="676"/>
      <c r="AX26" s="676"/>
      <c r="AY26" s="676"/>
      <c r="AZ26" s="676"/>
      <c r="BA26" s="676"/>
      <c r="BB26" s="677"/>
    </row>
    <row r="27" spans="1:54" ht="13.5" customHeight="1" thickBot="1">
      <c r="A27" s="18"/>
      <c r="B27" s="679"/>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20"/>
      <c r="AH27" s="631"/>
      <c r="AI27" s="632"/>
      <c r="AJ27" s="632"/>
      <c r="AK27" s="632"/>
      <c r="AL27" s="632"/>
      <c r="AM27" s="632"/>
      <c r="AN27" s="632"/>
      <c r="AO27" s="632"/>
      <c r="AP27" s="632"/>
      <c r="AQ27" s="632"/>
      <c r="AR27" s="632"/>
      <c r="AS27" s="632"/>
      <c r="AT27" s="632"/>
      <c r="AU27" s="632"/>
      <c r="AV27" s="632"/>
      <c r="AW27" s="633"/>
      <c r="AX27" s="633"/>
      <c r="AY27" s="633"/>
      <c r="AZ27" s="633"/>
      <c r="BA27" s="633"/>
      <c r="BB27" s="634"/>
    </row>
    <row r="28" spans="1:54" ht="13.5" customHeight="1" thickTop="1">
      <c r="A28" s="18"/>
      <c r="B28" s="679"/>
      <c r="C28" s="679"/>
      <c r="D28" s="679"/>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20"/>
    </row>
    <row r="29" spans="1:54" ht="13.5" customHeight="1">
      <c r="A29" s="18"/>
      <c r="B29" s="679"/>
      <c r="C29" s="679"/>
      <c r="D29" s="679"/>
      <c r="E29" s="679"/>
      <c r="F29" s="679"/>
      <c r="G29" s="679"/>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679"/>
      <c r="AF29" s="20"/>
    </row>
    <row r="30" spans="1:54" ht="13.5" customHeight="1">
      <c r="A30" s="18"/>
      <c r="B30" s="679"/>
      <c r="C30" s="679"/>
      <c r="D30" s="679"/>
      <c r="E30" s="679"/>
      <c r="F30" s="679"/>
      <c r="G30" s="679"/>
      <c r="H30" s="679"/>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20"/>
    </row>
    <row r="31" spans="1:54" ht="13.5" customHeight="1">
      <c r="A31" s="18"/>
      <c r="B31" s="679"/>
      <c r="C31" s="679"/>
      <c r="D31" s="679"/>
      <c r="E31" s="679"/>
      <c r="F31" s="679"/>
      <c r="G31" s="679"/>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20"/>
    </row>
    <row r="32" spans="1:54" ht="13.5" customHeight="1">
      <c r="A32" s="18"/>
      <c r="B32" s="681" t="s">
        <v>42</v>
      </c>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20"/>
    </row>
    <row r="33" spans="1:32" ht="13.5" customHeight="1">
      <c r="A33" s="18"/>
      <c r="B33" s="681"/>
      <c r="C33" s="681"/>
      <c r="D33" s="681"/>
      <c r="E33" s="681"/>
      <c r="F33" s="681"/>
      <c r="G33" s="681"/>
      <c r="H33" s="681"/>
      <c r="I33" s="681"/>
      <c r="J33" s="681"/>
      <c r="K33" s="681"/>
      <c r="L33" s="681"/>
      <c r="M33" s="681"/>
      <c r="N33" s="681"/>
      <c r="O33" s="681"/>
      <c r="P33" s="681"/>
      <c r="Q33" s="681"/>
      <c r="R33" s="681"/>
      <c r="S33" s="681"/>
      <c r="T33" s="681"/>
      <c r="U33" s="681"/>
      <c r="V33" s="681"/>
      <c r="W33" s="681"/>
      <c r="X33" s="681"/>
      <c r="Y33" s="681"/>
      <c r="Z33" s="681"/>
      <c r="AA33" s="681"/>
      <c r="AB33" s="681"/>
      <c r="AC33" s="681"/>
      <c r="AD33" s="681"/>
      <c r="AE33" s="681"/>
      <c r="AF33" s="20"/>
    </row>
    <row r="34" spans="1:32" ht="13.5" customHeight="1">
      <c r="A34" s="18"/>
      <c r="B34" s="681"/>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20"/>
    </row>
    <row r="35" spans="1:32" ht="13.5" customHeight="1">
      <c r="A35" s="18"/>
      <c r="B35" s="55" t="s">
        <v>172</v>
      </c>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0"/>
    </row>
    <row r="36" spans="1:32" ht="13.5" customHeight="1">
      <c r="A36" s="18"/>
      <c r="B36" s="680" t="s">
        <v>169</v>
      </c>
      <c r="C36" s="680"/>
      <c r="D36" s="680"/>
      <c r="E36" s="680"/>
      <c r="F36" s="680"/>
      <c r="G36" s="680"/>
      <c r="H36" s="680"/>
      <c r="I36" s="680"/>
      <c r="J36" s="680"/>
      <c r="K36" s="680"/>
      <c r="L36" s="680"/>
      <c r="M36" s="680"/>
      <c r="N36" s="680"/>
      <c r="O36" s="680"/>
      <c r="P36" s="680"/>
      <c r="Q36" s="680"/>
      <c r="R36" s="680"/>
      <c r="S36" s="680"/>
      <c r="T36" s="680"/>
      <c r="U36" s="680"/>
      <c r="V36" s="680"/>
      <c r="W36" s="680"/>
      <c r="X36" s="680"/>
      <c r="Y36" s="680"/>
      <c r="Z36" s="680"/>
      <c r="AA36" s="680"/>
      <c r="AB36" s="680"/>
      <c r="AC36" s="680"/>
      <c r="AD36" s="680"/>
      <c r="AE36" s="680"/>
      <c r="AF36" s="20"/>
    </row>
    <row r="37" spans="1:32" ht="13.5" customHeight="1">
      <c r="A37" s="18"/>
      <c r="B37" s="680"/>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0"/>
      <c r="AF37" s="20"/>
    </row>
    <row r="38" spans="1:32" ht="13.5" customHeight="1">
      <c r="A38" s="18"/>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20"/>
    </row>
    <row r="39" spans="1:32" ht="13.5" customHeight="1">
      <c r="A39" s="18"/>
      <c r="B39" s="55" t="s">
        <v>173</v>
      </c>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0"/>
    </row>
    <row r="40" spans="1:32" ht="13.5" customHeight="1">
      <c r="A40" s="18"/>
      <c r="B40" s="680" t="s">
        <v>170</v>
      </c>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20"/>
    </row>
    <row r="41" spans="1:32" ht="13.5" customHeight="1">
      <c r="A41" s="18"/>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20"/>
    </row>
    <row r="42" spans="1:32" ht="13.5" customHeight="1">
      <c r="A42" s="18"/>
      <c r="B42" s="680"/>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20"/>
    </row>
    <row r="43" spans="1:32" ht="13.5" customHeight="1">
      <c r="A43" s="18"/>
      <c r="B43" s="55" t="s">
        <v>174</v>
      </c>
      <c r="E43" s="22"/>
      <c r="F43" s="22"/>
      <c r="Z43" s="17"/>
      <c r="AA43" s="17"/>
      <c r="AB43" s="17"/>
      <c r="AC43" s="17"/>
      <c r="AD43" s="17"/>
      <c r="AE43" s="17"/>
      <c r="AF43" s="20"/>
    </row>
    <row r="44" spans="1:32" ht="13.5" customHeight="1">
      <c r="A44" s="18"/>
      <c r="B44" s="679" t="s">
        <v>258</v>
      </c>
      <c r="C44" s="679"/>
      <c r="D44" s="679"/>
      <c r="E44" s="679"/>
      <c r="F44" s="679"/>
      <c r="G44" s="679"/>
      <c r="H44" s="679"/>
      <c r="I44" s="679"/>
      <c r="J44" s="679"/>
      <c r="K44" s="679"/>
      <c r="L44" s="679"/>
      <c r="M44" s="679"/>
      <c r="N44" s="679"/>
      <c r="O44" s="679"/>
      <c r="P44" s="679"/>
      <c r="Q44" s="679"/>
      <c r="R44" s="679"/>
      <c r="S44" s="679"/>
      <c r="T44" s="679"/>
      <c r="U44" s="679"/>
      <c r="V44" s="679"/>
      <c r="W44" s="679"/>
      <c r="X44" s="679"/>
      <c r="Y44" s="679"/>
      <c r="Z44" s="679"/>
      <c r="AA44" s="679"/>
      <c r="AB44" s="679"/>
      <c r="AC44" s="679"/>
      <c r="AD44" s="679"/>
      <c r="AE44" s="679"/>
      <c r="AF44" s="20"/>
    </row>
    <row r="45" spans="1:32" ht="13.5" customHeight="1">
      <c r="A45" s="18"/>
      <c r="B45" s="679"/>
      <c r="C45" s="679"/>
      <c r="D45" s="679"/>
      <c r="E45" s="679"/>
      <c r="F45" s="679"/>
      <c r="G45" s="679"/>
      <c r="H45" s="679"/>
      <c r="I45" s="679"/>
      <c r="J45" s="679"/>
      <c r="K45" s="679"/>
      <c r="L45" s="679"/>
      <c r="M45" s="679"/>
      <c r="N45" s="679"/>
      <c r="O45" s="679"/>
      <c r="P45" s="679"/>
      <c r="Q45" s="679"/>
      <c r="R45" s="679"/>
      <c r="S45" s="679"/>
      <c r="T45" s="679"/>
      <c r="U45" s="679"/>
      <c r="V45" s="679"/>
      <c r="W45" s="679"/>
      <c r="X45" s="679"/>
      <c r="Y45" s="679"/>
      <c r="Z45" s="679"/>
      <c r="AA45" s="679"/>
      <c r="AB45" s="679"/>
      <c r="AC45" s="679"/>
      <c r="AD45" s="679"/>
      <c r="AE45" s="679"/>
      <c r="AF45" s="20"/>
    </row>
    <row r="46" spans="1:32" ht="13.5" customHeight="1">
      <c r="A46" s="18"/>
      <c r="B46" s="679"/>
      <c r="C46" s="679"/>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20"/>
    </row>
    <row r="47" spans="1:32" ht="13.5" customHeight="1">
      <c r="A47" s="18"/>
      <c r="B47" s="679"/>
      <c r="C47" s="679"/>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20"/>
    </row>
    <row r="48" spans="1:32" ht="13.5" customHeight="1">
      <c r="A48" s="18"/>
      <c r="B48" s="55" t="s">
        <v>176</v>
      </c>
      <c r="Z48" s="17"/>
      <c r="AA48" s="17"/>
      <c r="AB48" s="17"/>
      <c r="AC48" s="17"/>
      <c r="AD48" s="17"/>
      <c r="AE48" s="17"/>
      <c r="AF48" s="20"/>
    </row>
    <row r="49" spans="1:32" ht="13.5" customHeight="1">
      <c r="A49" s="18"/>
      <c r="B49" s="680" t="s">
        <v>177</v>
      </c>
      <c r="C49" s="680"/>
      <c r="D49" s="680"/>
      <c r="E49" s="680"/>
      <c r="F49" s="680"/>
      <c r="G49" s="680"/>
      <c r="H49" s="680"/>
      <c r="I49" s="680"/>
      <c r="J49" s="680"/>
      <c r="K49" s="680"/>
      <c r="L49" s="680"/>
      <c r="M49" s="680"/>
      <c r="N49" s="680"/>
      <c r="O49" s="680"/>
      <c r="P49" s="680"/>
      <c r="Q49" s="680"/>
      <c r="R49" s="680"/>
      <c r="S49" s="680"/>
      <c r="T49" s="680"/>
      <c r="U49" s="680"/>
      <c r="V49" s="680"/>
      <c r="W49" s="680"/>
      <c r="X49" s="680"/>
      <c r="Y49" s="680"/>
      <c r="Z49" s="680"/>
      <c r="AA49" s="680"/>
      <c r="AB49" s="680"/>
      <c r="AC49" s="680"/>
      <c r="AD49" s="680"/>
      <c r="AE49" s="680"/>
      <c r="AF49" s="20"/>
    </row>
    <row r="50" spans="1:32" ht="13.5" customHeight="1">
      <c r="A50" s="18"/>
      <c r="B50" s="680"/>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680"/>
      <c r="AD50" s="680"/>
      <c r="AE50" s="680"/>
      <c r="AF50" s="20"/>
    </row>
    <row r="51" spans="1:32" ht="13.5" customHeight="1">
      <c r="A51" s="18"/>
      <c r="B51" s="680"/>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20"/>
    </row>
    <row r="52" spans="1:32" ht="13.5" customHeight="1">
      <c r="A52" s="18"/>
      <c r="B52" s="680" t="s">
        <v>178</v>
      </c>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680"/>
      <c r="AD52" s="680"/>
      <c r="AE52" s="680"/>
      <c r="AF52" s="20"/>
    </row>
    <row r="53" spans="1:32" ht="13.5" customHeight="1">
      <c r="A53" s="18"/>
      <c r="B53" s="680"/>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20"/>
    </row>
    <row r="54" spans="1:32" ht="13.5" customHeight="1">
      <c r="A54" s="18"/>
      <c r="B54" s="55" t="s">
        <v>180</v>
      </c>
      <c r="Z54" s="17"/>
      <c r="AA54" s="17"/>
      <c r="AB54" s="17"/>
      <c r="AC54" s="17"/>
      <c r="AD54" s="17"/>
      <c r="AE54" s="17"/>
      <c r="AF54" s="20"/>
    </row>
    <row r="55" spans="1:32" ht="13.5" customHeight="1">
      <c r="A55" s="18"/>
      <c r="B55" s="680" t="s">
        <v>181</v>
      </c>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20"/>
    </row>
    <row r="56" spans="1:32" ht="13.5" customHeight="1">
      <c r="A56" s="18"/>
      <c r="B56" s="680"/>
      <c r="C56" s="680"/>
      <c r="D56" s="680"/>
      <c r="E56" s="680"/>
      <c r="F56" s="680"/>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20"/>
    </row>
    <row r="57" spans="1:32" ht="13.5" customHeight="1">
      <c r="A57" s="18"/>
      <c r="B57" s="680"/>
      <c r="C57" s="680"/>
      <c r="D57" s="680"/>
      <c r="E57" s="680"/>
      <c r="F57" s="680"/>
      <c r="G57" s="680"/>
      <c r="H57" s="680"/>
      <c r="I57" s="680"/>
      <c r="J57" s="680"/>
      <c r="K57" s="680"/>
      <c r="L57" s="680"/>
      <c r="M57" s="680"/>
      <c r="N57" s="680"/>
      <c r="O57" s="680"/>
      <c r="P57" s="680"/>
      <c r="Q57" s="680"/>
      <c r="R57" s="680"/>
      <c r="S57" s="680"/>
      <c r="T57" s="680"/>
      <c r="U57" s="680"/>
      <c r="V57" s="680"/>
      <c r="W57" s="680"/>
      <c r="X57" s="680"/>
      <c r="Y57" s="680"/>
      <c r="Z57" s="680"/>
      <c r="AA57" s="680"/>
      <c r="AB57" s="680"/>
      <c r="AC57" s="680"/>
      <c r="AD57" s="680"/>
      <c r="AE57" s="680"/>
      <c r="AF57" s="20"/>
    </row>
    <row r="58" spans="1:32" ht="13.5" customHeight="1">
      <c r="A58" s="30" t="s">
        <v>29</v>
      </c>
      <c r="B58" s="21"/>
      <c r="C58" s="21"/>
      <c r="D58" s="21"/>
      <c r="E58" s="21"/>
      <c r="F58" s="21"/>
      <c r="G58" s="21"/>
      <c r="H58" s="21"/>
      <c r="I58" s="21"/>
      <c r="J58" s="21"/>
      <c r="K58" s="21"/>
      <c r="L58" s="21"/>
      <c r="M58" s="21"/>
      <c r="N58" s="21"/>
      <c r="O58" s="21"/>
      <c r="P58" s="21"/>
      <c r="Q58" s="21"/>
      <c r="R58" s="21"/>
      <c r="S58" s="21"/>
      <c r="T58" s="21"/>
      <c r="U58" s="21"/>
      <c r="V58" s="21"/>
      <c r="W58" s="21"/>
      <c r="X58" s="21"/>
      <c r="Y58" s="19"/>
      <c r="Z58" s="19"/>
      <c r="AA58" s="19"/>
      <c r="AB58" s="19"/>
      <c r="AC58" s="19"/>
      <c r="AD58" s="19"/>
      <c r="AE58" s="19"/>
      <c r="AF58" s="20"/>
    </row>
    <row r="59" spans="1:32" ht="13.5" customHeight="1">
      <c r="A59" s="30" t="s">
        <v>30</v>
      </c>
      <c r="B59" s="21"/>
      <c r="C59" s="21"/>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20"/>
    </row>
    <row r="60" spans="1:32" ht="13.5" customHeight="1">
      <c r="A60" s="31" t="s">
        <v>31</v>
      </c>
      <c r="B60" s="32"/>
      <c r="C60" s="32"/>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4"/>
    </row>
    <row r="61" spans="1:32" ht="13.5" customHeight="1">
      <c r="A61" s="301"/>
      <c r="B61" s="302"/>
      <c r="C61" s="302"/>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row>
    <row r="62" spans="1:32" ht="13.5" customHeight="1">
      <c r="A62" s="301"/>
      <c r="B62" s="302"/>
      <c r="C62" s="302"/>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row>
    <row r="63" spans="1:32" ht="13.5" customHeight="1">
      <c r="A63" s="301"/>
      <c r="B63" s="302"/>
      <c r="C63" s="302"/>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row>
    <row r="64" spans="1:32" ht="13.5" customHeight="1">
      <c r="A64" s="301"/>
      <c r="B64" s="302"/>
      <c r="C64" s="302"/>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row>
    <row r="65" spans="1:32" ht="13.5" customHeight="1">
      <c r="A65" s="301"/>
      <c r="B65" s="302"/>
      <c r="C65" s="302"/>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row>
    <row r="66" spans="1:32" ht="13.5" customHeight="1">
      <c r="A66" s="301"/>
      <c r="B66" s="302"/>
      <c r="C66" s="302"/>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row>
    <row r="67" spans="1:32" ht="13.5" customHeight="1">
      <c r="A67" s="301"/>
      <c r="B67" s="302"/>
      <c r="C67" s="302"/>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row>
    <row r="68" spans="1:32" ht="13.5" customHeight="1">
      <c r="A68" s="301"/>
      <c r="B68" s="302"/>
      <c r="C68" s="303"/>
      <c r="D68" s="304"/>
      <c r="E68" s="304"/>
      <c r="F68" s="304"/>
      <c r="G68" s="305"/>
      <c r="H68" s="305"/>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row>
    <row r="69" spans="1:32" ht="13.5" customHeight="1">
      <c r="A69" s="301"/>
      <c r="B69" s="302"/>
      <c r="C69" s="303"/>
      <c r="D69" s="303"/>
      <c r="E69" s="303"/>
      <c r="F69" s="303"/>
      <c r="G69" s="306"/>
      <c r="H69" s="306"/>
      <c r="I69" s="306"/>
      <c r="J69" s="306"/>
      <c r="K69" s="306"/>
      <c r="L69" s="306"/>
      <c r="M69" s="306"/>
      <c r="N69" s="306"/>
      <c r="O69" s="306"/>
      <c r="P69" s="306"/>
      <c r="Q69" s="306"/>
      <c r="R69" s="306"/>
      <c r="S69" s="306"/>
      <c r="T69" s="306"/>
      <c r="U69" s="306"/>
      <c r="V69" s="306"/>
      <c r="W69" s="306"/>
      <c r="X69" s="306"/>
      <c r="Y69" s="305"/>
      <c r="Z69" s="305"/>
      <c r="AA69" s="305"/>
      <c r="AB69" s="305"/>
      <c r="AC69" s="305"/>
      <c r="AD69" s="305"/>
      <c r="AE69" s="305"/>
      <c r="AF69" s="305"/>
    </row>
    <row r="70" spans="1:32" ht="13.5" customHeight="1">
      <c r="A70" s="301"/>
      <c r="B70" s="302"/>
      <c r="C70" s="304"/>
      <c r="D70" s="304"/>
      <c r="E70" s="304"/>
      <c r="F70" s="304"/>
      <c r="G70" s="305"/>
      <c r="H70" s="305"/>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row>
    <row r="71" spans="1:32" s="16" customFormat="1" ht="13.5" customHeight="1"/>
    <row r="72" spans="1:32" s="16" customFormat="1" ht="13.5" customHeight="1"/>
    <row r="73" spans="1:32" s="16" customFormat="1" ht="13.5" customHeight="1"/>
    <row r="74" spans="1:32" s="16" customFormat="1" ht="13.5" customHeight="1"/>
    <row r="75" spans="1:32" s="16" customFormat="1" ht="13.5" customHeight="1"/>
    <row r="76" spans="1:32" s="16" customFormat="1" ht="13.5" customHeight="1"/>
    <row r="77" spans="1:32" s="16" customFormat="1" ht="13.5" customHeight="1"/>
    <row r="78" spans="1:32" s="16" customFormat="1" ht="13.5" customHeight="1"/>
    <row r="79" spans="1:32" s="16" customFormat="1" ht="13.5" customHeight="1"/>
    <row r="80" spans="1:32" s="16" customFormat="1" ht="13.5" customHeight="1"/>
    <row r="81" s="16" customFormat="1" ht="13.5" customHeight="1"/>
    <row r="82" s="16" customFormat="1" ht="13.5" customHeight="1"/>
    <row r="83" s="16" customFormat="1" ht="13.5" customHeight="1"/>
    <row r="84" s="16" customFormat="1" ht="13.5" customHeight="1"/>
    <row r="85" s="16" customFormat="1" ht="13.5" customHeight="1"/>
    <row r="86" s="16" customFormat="1" ht="13.5" customHeight="1"/>
    <row r="87" s="16" customFormat="1" ht="13.5" customHeight="1"/>
    <row r="88" s="16" customFormat="1" ht="13.5" customHeight="1"/>
    <row r="89" s="16" customFormat="1" ht="13.5" customHeight="1"/>
    <row r="90" s="16" customFormat="1" ht="13.5" customHeight="1"/>
    <row r="91" s="16" customFormat="1" ht="13.5" customHeight="1"/>
    <row r="92" s="16" customFormat="1" ht="13.5" customHeight="1"/>
    <row r="93" s="16" customFormat="1" ht="13.5" customHeight="1"/>
    <row r="94" s="16" customFormat="1" ht="13.5" customHeight="1"/>
    <row r="95" s="16" customFormat="1" ht="13.5" customHeight="1"/>
    <row r="96" s="16" customFormat="1" ht="13.5" customHeight="1"/>
    <row r="97" s="16" customFormat="1" ht="13.5" customHeight="1"/>
    <row r="98" s="16" customFormat="1" ht="13.5" customHeight="1"/>
    <row r="99" s="16" customFormat="1" ht="13.5" customHeight="1"/>
    <row r="100" s="16" customFormat="1" ht="13.5" customHeight="1"/>
    <row r="101" s="16" customFormat="1" ht="13.5" customHeight="1"/>
    <row r="102" s="16" customFormat="1" ht="13.5" customHeight="1"/>
    <row r="103" s="16" customFormat="1" ht="13.5" customHeight="1"/>
    <row r="104" s="16" customFormat="1" ht="13.5" customHeight="1"/>
    <row r="105" s="16" customFormat="1" ht="13.5" customHeight="1"/>
    <row r="106" s="16" customFormat="1" ht="13.5" customHeight="1"/>
    <row r="107" s="16" customFormat="1" ht="13.5" customHeight="1"/>
    <row r="108" s="16" customFormat="1" ht="13.5" customHeight="1"/>
    <row r="109" s="16" customFormat="1" ht="13.5" customHeight="1"/>
    <row r="110" s="16" customFormat="1" ht="13.5" customHeight="1"/>
    <row r="111" s="16" customFormat="1" ht="13.5" customHeight="1"/>
    <row r="112" s="16" customFormat="1" ht="13.5" customHeight="1"/>
    <row r="113" s="16" customFormat="1" ht="13.5" customHeight="1"/>
    <row r="114" s="16" customFormat="1" ht="13.5" customHeight="1"/>
    <row r="115" s="16" customFormat="1" ht="13.5" customHeight="1"/>
    <row r="116" s="16" customFormat="1" ht="13.5" customHeight="1"/>
    <row r="117" s="16" customFormat="1" ht="13.5" customHeight="1"/>
    <row r="118" s="16" customFormat="1" ht="13.5" customHeight="1"/>
    <row r="119" s="16" customFormat="1" ht="13.5" customHeight="1"/>
    <row r="120" s="16" customFormat="1" ht="13.5" customHeight="1"/>
    <row r="121" s="16" customFormat="1" ht="13.5" customHeight="1"/>
    <row r="122" s="16" customFormat="1" ht="13.5" customHeight="1"/>
    <row r="123" s="16" customFormat="1" ht="13.5" customHeight="1"/>
    <row r="124" s="16" customFormat="1" ht="13.5" customHeight="1"/>
    <row r="125" s="16" customFormat="1" ht="13.5" customHeight="1"/>
    <row r="126" s="16" customFormat="1" ht="13.5" customHeight="1"/>
    <row r="127" s="16" customFormat="1" ht="13.5" customHeight="1"/>
    <row r="128" s="16" customFormat="1" ht="13.5" customHeight="1"/>
    <row r="129" s="16" customFormat="1" ht="13.5" customHeight="1"/>
    <row r="130" s="16" customFormat="1" ht="13.5" customHeight="1"/>
    <row r="131" s="16" customFormat="1" ht="13.5" customHeight="1"/>
    <row r="132" s="16" customFormat="1" ht="13.5" customHeight="1"/>
    <row r="133" s="16" customFormat="1" ht="13.5" customHeight="1"/>
    <row r="134" s="16" customFormat="1" ht="13.5" customHeight="1"/>
    <row r="135" s="16" customFormat="1" ht="13.5" customHeight="1"/>
    <row r="136" s="16" customFormat="1" ht="13.5" customHeight="1"/>
    <row r="137" s="16" customFormat="1" ht="13.5" customHeight="1"/>
    <row r="138" s="16" customFormat="1" ht="13.5" customHeight="1"/>
    <row r="139" s="16" customFormat="1" ht="13.5" customHeight="1"/>
    <row r="140" s="16" customFormat="1" ht="13.5" customHeight="1"/>
    <row r="141" s="16" customFormat="1" ht="13.5" customHeight="1"/>
    <row r="142" s="16" customFormat="1" ht="13.5" customHeight="1"/>
    <row r="143" s="16" customFormat="1" ht="13.5" customHeight="1"/>
    <row r="144" s="16" customFormat="1" ht="13.5" customHeight="1"/>
    <row r="145" s="16" customFormat="1" ht="13.5" customHeight="1"/>
    <row r="146" s="16" customFormat="1" ht="13.5" customHeight="1"/>
    <row r="147" s="16" customFormat="1" ht="13.5" customHeight="1"/>
    <row r="148" s="16" customFormat="1" ht="13.5" customHeight="1"/>
    <row r="149" s="16" customFormat="1" ht="13.5" customHeight="1"/>
    <row r="150" s="16" customFormat="1" ht="13.5" customHeight="1"/>
    <row r="151" s="16" customFormat="1" ht="13.5" customHeight="1"/>
    <row r="152" s="16" customFormat="1" ht="13.5" customHeight="1"/>
    <row r="153" s="16" customFormat="1" ht="13.5" customHeight="1"/>
    <row r="154" s="16" customFormat="1" ht="13.5" customHeight="1"/>
    <row r="155" s="16" customFormat="1" ht="13.5" customHeight="1"/>
  </sheetData>
  <sheetProtection selectLockedCells="1" selectUnlockedCells="1"/>
  <mergeCells count="21">
    <mergeCell ref="AB1:AF3"/>
    <mergeCell ref="AH24:BB26"/>
    <mergeCell ref="Y3:Z3"/>
    <mergeCell ref="A1:T3"/>
    <mergeCell ref="B4:X5"/>
    <mergeCell ref="B6:AE8"/>
    <mergeCell ref="B25:AE31"/>
    <mergeCell ref="B49:AE51"/>
    <mergeCell ref="B55:AE57"/>
    <mergeCell ref="B17:AE20"/>
    <mergeCell ref="B32:AE34"/>
    <mergeCell ref="B36:AE38"/>
    <mergeCell ref="B44:AE47"/>
    <mergeCell ref="B40:AE42"/>
    <mergeCell ref="B9:AE9"/>
    <mergeCell ref="B21:AE22"/>
    <mergeCell ref="B52:AE53"/>
    <mergeCell ref="AH8:BB11"/>
    <mergeCell ref="AH13:BB16"/>
    <mergeCell ref="AH18:BB19"/>
    <mergeCell ref="AH21:BB22"/>
  </mergeCells>
  <printOptions horizontalCentered="1" verticalCentered="1"/>
  <pageMargins left="0.59055118110236227" right="0.59055118110236227" top="0.59055118110236227" bottom="0.59055118110236227" header="0.39370078740157483" footer="0.39370078740157483"/>
  <pageSetup paperSize="9" scale="90" orientation="portrait" r:id="rId1"/>
  <headerFooter alignWithMargins="0">
    <oddFooter>&amp;R&amp;8&amp;F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O226"/>
  <sheetViews>
    <sheetView showGridLines="0" zoomScale="110" zoomScaleNormal="110" zoomScaleSheetLayoutView="100" workbookViewId="0">
      <selection activeCell="O33" sqref="O33"/>
    </sheetView>
  </sheetViews>
  <sheetFormatPr baseColWidth="10" defaultColWidth="2.6640625" defaultRowHeight="13.5" customHeight="1"/>
  <cols>
    <col min="1" max="49" width="2.6640625" style="46" customWidth="1"/>
    <col min="50" max="145" width="2.6640625" style="321"/>
    <col min="146" max="16384" width="2.6640625" style="46"/>
  </cols>
  <sheetData>
    <row r="1" spans="1:145" s="17" customFormat="1" ht="13.5" customHeight="1">
      <c r="A1" s="682" t="s">
        <v>259</v>
      </c>
      <c r="B1" s="683"/>
      <c r="C1" s="683"/>
      <c r="D1" s="683"/>
      <c r="E1" s="683"/>
      <c r="F1" s="683"/>
      <c r="G1" s="683"/>
      <c r="H1" s="683"/>
      <c r="I1" s="683"/>
      <c r="J1" s="683"/>
      <c r="K1" s="683"/>
      <c r="L1" s="683"/>
      <c r="M1" s="683"/>
      <c r="N1" s="683"/>
      <c r="O1" s="683"/>
      <c r="P1" s="683"/>
      <c r="Q1" s="683"/>
      <c r="R1" s="683"/>
      <c r="S1" s="683"/>
      <c r="T1" s="683"/>
      <c r="U1" s="683"/>
      <c r="V1" s="683"/>
      <c r="W1" s="683"/>
      <c r="X1" s="683"/>
      <c r="Y1" s="684"/>
      <c r="Z1" s="1"/>
      <c r="AA1" s="2"/>
      <c r="AB1" s="2"/>
      <c r="AC1" s="3"/>
      <c r="AD1" s="3"/>
      <c r="AE1" s="4"/>
      <c r="AF1" s="712" t="s">
        <v>32</v>
      </c>
      <c r="AG1" s="713"/>
      <c r="AH1" s="713"/>
      <c r="AI1" s="713"/>
      <c r="AJ1" s="713"/>
      <c r="AK1" s="713"/>
      <c r="AL1" s="713"/>
      <c r="AM1" s="713"/>
      <c r="AN1" s="713"/>
      <c r="AO1" s="713"/>
      <c r="AP1" s="716" t="str">
        <f>'TWW-DIM'!AR1</f>
        <v>TWW-DIM</v>
      </c>
      <c r="AQ1" s="717"/>
      <c r="AR1" s="717"/>
      <c r="AS1" s="717"/>
      <c r="AT1" s="717"/>
      <c r="AU1" s="717"/>
      <c r="AV1" s="717"/>
      <c r="AW1" s="718"/>
      <c r="AX1" s="16"/>
      <c r="AY1" s="16"/>
      <c r="AZ1" s="16"/>
      <c r="BA1" s="16"/>
      <c r="BB1" s="302"/>
      <c r="BC1" s="302"/>
      <c r="BD1" s="302"/>
      <c r="BE1" s="302"/>
      <c r="BF1" s="302"/>
      <c r="BG1" s="302"/>
      <c r="BH1" s="302"/>
      <c r="BI1" s="302"/>
      <c r="BJ1" s="302"/>
      <c r="BK1" s="302"/>
      <c r="BL1" s="302"/>
      <c r="BM1" s="302"/>
      <c r="BN1" s="302"/>
      <c r="BO1" s="302"/>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row>
    <row r="2" spans="1:145" s="17" customFormat="1" ht="13.5" customHeight="1">
      <c r="A2" s="685"/>
      <c r="B2" s="686"/>
      <c r="C2" s="686"/>
      <c r="D2" s="686"/>
      <c r="E2" s="686"/>
      <c r="F2" s="686"/>
      <c r="G2" s="686"/>
      <c r="H2" s="686"/>
      <c r="I2" s="686"/>
      <c r="J2" s="686"/>
      <c r="K2" s="686"/>
      <c r="L2" s="686"/>
      <c r="M2" s="686"/>
      <c r="N2" s="686"/>
      <c r="O2" s="686"/>
      <c r="P2" s="686"/>
      <c r="Q2" s="686"/>
      <c r="R2" s="686"/>
      <c r="S2" s="686"/>
      <c r="T2" s="686"/>
      <c r="U2" s="686"/>
      <c r="V2" s="686"/>
      <c r="W2" s="686"/>
      <c r="X2" s="686"/>
      <c r="Y2" s="687"/>
      <c r="Z2" s="5"/>
      <c r="AA2" s="6"/>
      <c r="AB2" s="118" t="s">
        <v>189</v>
      </c>
      <c r="AC2" s="7"/>
      <c r="AD2" s="7"/>
      <c r="AE2" s="8"/>
      <c r="AF2" s="714"/>
      <c r="AG2" s="715"/>
      <c r="AH2" s="715"/>
      <c r="AI2" s="715"/>
      <c r="AJ2" s="715"/>
      <c r="AK2" s="715"/>
      <c r="AL2" s="715"/>
      <c r="AM2" s="715"/>
      <c r="AN2" s="715"/>
      <c r="AO2" s="715"/>
      <c r="AP2" s="719"/>
      <c r="AQ2" s="720"/>
      <c r="AR2" s="720"/>
      <c r="AS2" s="720"/>
      <c r="AT2" s="720"/>
      <c r="AU2" s="720"/>
      <c r="AV2" s="720"/>
      <c r="AW2" s="721"/>
      <c r="AX2" s="16"/>
      <c r="AY2" s="16"/>
      <c r="AZ2" s="16"/>
      <c r="BA2" s="16"/>
      <c r="BB2" s="302"/>
      <c r="BC2" s="302"/>
      <c r="BD2" s="302"/>
      <c r="BE2" s="302"/>
      <c r="BF2" s="302"/>
      <c r="BG2" s="302"/>
      <c r="BH2" s="302"/>
      <c r="BI2" s="302"/>
      <c r="BJ2" s="302"/>
      <c r="BK2" s="302"/>
      <c r="BL2" s="302"/>
      <c r="BM2" s="302"/>
      <c r="BN2" s="302"/>
      <c r="BO2" s="302"/>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row>
    <row r="3" spans="1:145" s="17" customFormat="1" ht="13.5" customHeight="1">
      <c r="A3" s="688"/>
      <c r="B3" s="689"/>
      <c r="C3" s="689"/>
      <c r="D3" s="689"/>
      <c r="E3" s="689"/>
      <c r="F3" s="689"/>
      <c r="G3" s="689"/>
      <c r="H3" s="689"/>
      <c r="I3" s="689"/>
      <c r="J3" s="689"/>
      <c r="K3" s="689"/>
      <c r="L3" s="689"/>
      <c r="M3" s="689"/>
      <c r="N3" s="689"/>
      <c r="O3" s="689"/>
      <c r="P3" s="689"/>
      <c r="Q3" s="689"/>
      <c r="R3" s="689"/>
      <c r="S3" s="689"/>
      <c r="T3" s="689"/>
      <c r="U3" s="689"/>
      <c r="V3" s="689"/>
      <c r="W3" s="689"/>
      <c r="X3" s="689"/>
      <c r="Y3" s="690"/>
      <c r="Z3" s="722"/>
      <c r="AA3" s="723"/>
      <c r="AB3" s="726"/>
      <c r="AC3" s="726"/>
      <c r="AD3" s="726"/>
      <c r="AE3" s="727"/>
      <c r="AF3" s="35"/>
      <c r="AG3" s="36"/>
      <c r="AH3" s="36"/>
      <c r="AI3" s="37"/>
      <c r="AJ3" s="37"/>
      <c r="AK3" s="37"/>
      <c r="AL3" s="38"/>
      <c r="AM3" s="39" t="str">
        <f ca="1">MID(CELL("Dateiname",$A$1),FIND("]",CELL("Dateiname",$A$1))+1,31)</f>
        <v>Begründungen</v>
      </c>
      <c r="AN3" s="730" t="s">
        <v>33</v>
      </c>
      <c r="AO3" s="731"/>
      <c r="AP3" s="731"/>
      <c r="AQ3" s="732"/>
      <c r="AR3" s="40" t="s">
        <v>34</v>
      </c>
      <c r="AS3" s="41"/>
      <c r="AT3" s="733">
        <f>'TWW-DIM'!AR3</f>
        <v>0</v>
      </c>
      <c r="AU3" s="734"/>
      <c r="AV3" s="734"/>
      <c r="AW3" s="735"/>
      <c r="AX3" s="16"/>
      <c r="AY3" s="16"/>
      <c r="AZ3" s="16"/>
      <c r="BA3" s="16"/>
      <c r="BB3" s="302"/>
      <c r="BC3" s="302"/>
      <c r="BD3" s="302"/>
      <c r="BE3" s="302"/>
      <c r="BF3" s="302"/>
      <c r="BG3" s="302"/>
      <c r="BH3" s="302"/>
      <c r="BI3" s="302"/>
      <c r="BJ3" s="302"/>
      <c r="BK3" s="302"/>
      <c r="BL3" s="302"/>
      <c r="BM3" s="302"/>
      <c r="BN3" s="302"/>
      <c r="BO3" s="302"/>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row>
    <row r="4" spans="1:145" s="17" customFormat="1" ht="13.5" customHeight="1" thickBot="1">
      <c r="A4" s="704" t="s">
        <v>16</v>
      </c>
      <c r="B4" s="705"/>
      <c r="C4" s="705"/>
      <c r="D4" s="705"/>
      <c r="E4" s="706">
        <f>'TWW-DIM'!E4</f>
        <v>0</v>
      </c>
      <c r="F4" s="706"/>
      <c r="G4" s="706"/>
      <c r="H4" s="706"/>
      <c r="I4" s="706"/>
      <c r="J4" s="706"/>
      <c r="K4" s="706"/>
      <c r="L4" s="706"/>
      <c r="M4" s="706"/>
      <c r="N4" s="707" t="s">
        <v>35</v>
      </c>
      <c r="O4" s="707"/>
      <c r="P4" s="708">
        <f>'TWW-DIM'!P4</f>
        <v>0</v>
      </c>
      <c r="Q4" s="708"/>
      <c r="R4" s="708"/>
      <c r="S4" s="708"/>
      <c r="T4" s="708"/>
      <c r="U4" s="708"/>
      <c r="V4" s="708"/>
      <c r="W4" s="708"/>
      <c r="X4" s="708"/>
      <c r="Y4" s="709"/>
      <c r="Z4" s="724"/>
      <c r="AA4" s="725"/>
      <c r="AB4" s="728"/>
      <c r="AC4" s="728"/>
      <c r="AD4" s="728"/>
      <c r="AE4" s="729"/>
      <c r="AF4" s="710"/>
      <c r="AG4" s="711"/>
      <c r="AH4" s="691"/>
      <c r="AI4" s="691"/>
      <c r="AJ4" s="691"/>
      <c r="AK4" s="42"/>
      <c r="AL4" s="42"/>
      <c r="AM4" s="43"/>
      <c r="AN4" s="692">
        <f>'TWW-DIM'!AR4</f>
        <v>0</v>
      </c>
      <c r="AO4" s="693"/>
      <c r="AP4" s="693"/>
      <c r="AQ4" s="694"/>
      <c r="AR4" s="44" t="s">
        <v>36</v>
      </c>
      <c r="AS4" s="45"/>
      <c r="AT4" s="701">
        <f ca="1">TODAY()</f>
        <v>45749</v>
      </c>
      <c r="AU4" s="702"/>
      <c r="AV4" s="702"/>
      <c r="AW4" s="703"/>
      <c r="AX4" s="16"/>
      <c r="AY4" s="16"/>
      <c r="AZ4" s="16"/>
      <c r="BA4" s="16"/>
      <c r="BB4" s="302"/>
      <c r="BC4" s="302"/>
      <c r="BD4" s="302"/>
      <c r="BE4" s="302"/>
      <c r="BF4" s="302"/>
      <c r="BG4" s="302"/>
      <c r="BH4" s="302"/>
      <c r="BI4" s="302"/>
      <c r="BJ4" s="302"/>
      <c r="BK4" s="302"/>
      <c r="BL4" s="302"/>
      <c r="BM4" s="302"/>
      <c r="BN4" s="302"/>
      <c r="BO4" s="302"/>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row>
    <row r="5" spans="1:145" ht="13.5" customHeight="1" thickTop="1">
      <c r="A5" s="309"/>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1"/>
    </row>
    <row r="6" spans="1:145" ht="13.5" customHeight="1">
      <c r="A6" s="312"/>
      <c r="B6" s="47" t="s">
        <v>37</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57"/>
      <c r="AN6" s="57"/>
      <c r="AO6" s="57"/>
      <c r="AP6" s="57"/>
      <c r="AQ6" s="57"/>
      <c r="AR6" s="57"/>
      <c r="AS6" s="57"/>
      <c r="AT6" s="57"/>
      <c r="AU6" s="57"/>
      <c r="AV6" s="57"/>
      <c r="AW6" s="313"/>
    </row>
    <row r="7" spans="1:145" ht="13.5" customHeight="1">
      <c r="A7" s="314"/>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315"/>
      <c r="AN7" s="315"/>
      <c r="AO7" s="315"/>
      <c r="AP7" s="315"/>
      <c r="AQ7" s="315"/>
      <c r="AR7" s="315"/>
      <c r="AS7" s="315"/>
      <c r="AT7" s="315"/>
      <c r="AU7" s="315"/>
      <c r="AV7" s="315"/>
      <c r="AW7" s="313"/>
    </row>
    <row r="8" spans="1:145" ht="13.5" customHeight="1">
      <c r="A8" s="316"/>
      <c r="B8" s="50" t="s">
        <v>38</v>
      </c>
      <c r="C8" s="50"/>
      <c r="D8" s="50"/>
      <c r="E8" s="50"/>
      <c r="F8" s="50"/>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317"/>
    </row>
    <row r="9" spans="1:145" ht="13.5" customHeight="1">
      <c r="A9" s="316"/>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317"/>
    </row>
    <row r="10" spans="1:145" ht="13.5" customHeight="1">
      <c r="A10" s="316"/>
      <c r="B10" s="48" t="s">
        <v>39</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317"/>
    </row>
    <row r="11" spans="1:145" ht="13.5" customHeight="1">
      <c r="A11" s="316"/>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317"/>
    </row>
    <row r="12" spans="1:145" ht="13.5" customHeight="1">
      <c r="A12" s="316"/>
      <c r="B12" s="697" t="s">
        <v>97</v>
      </c>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307"/>
      <c r="AA12" s="308"/>
      <c r="AB12" s="48"/>
      <c r="AC12" s="48"/>
      <c r="AD12" s="48"/>
      <c r="AE12" s="48"/>
      <c r="AF12" s="48"/>
      <c r="AG12" s="48"/>
      <c r="AH12" s="48"/>
      <c r="AI12" s="48"/>
      <c r="AJ12" s="48"/>
      <c r="AK12" s="48"/>
      <c r="AL12" s="48"/>
      <c r="AM12" s="48"/>
      <c r="AN12" s="48"/>
      <c r="AO12" s="48"/>
      <c r="AP12" s="48"/>
      <c r="AQ12" s="48"/>
      <c r="AR12" s="48"/>
      <c r="AS12" s="48"/>
      <c r="AT12" s="48"/>
      <c r="AU12" s="48"/>
      <c r="AV12" s="48"/>
      <c r="AW12" s="317"/>
    </row>
    <row r="13" spans="1:145" ht="13.5" customHeight="1">
      <c r="A13" s="316"/>
      <c r="B13" s="699"/>
      <c r="C13" s="700"/>
      <c r="D13" s="700"/>
      <c r="E13" s="700"/>
      <c r="F13" s="700"/>
      <c r="G13" s="700"/>
      <c r="H13" s="700"/>
      <c r="I13" s="700"/>
      <c r="J13" s="700"/>
      <c r="K13" s="700"/>
      <c r="L13" s="700"/>
      <c r="M13" s="700"/>
      <c r="N13" s="700"/>
      <c r="O13" s="700"/>
      <c r="P13" s="700"/>
      <c r="Q13" s="700"/>
      <c r="R13" s="700"/>
      <c r="S13" s="700"/>
      <c r="T13" s="700"/>
      <c r="U13" s="700"/>
      <c r="V13" s="700"/>
      <c r="W13" s="700"/>
      <c r="X13" s="700"/>
      <c r="Y13" s="700"/>
      <c r="Z13" s="48"/>
      <c r="AA13" s="51"/>
      <c r="AB13" s="48"/>
      <c r="AC13" s="48"/>
      <c r="AD13" s="48"/>
      <c r="AE13" s="48"/>
      <c r="AF13" s="48"/>
      <c r="AG13" s="48"/>
      <c r="AH13" s="48"/>
      <c r="AI13" s="48"/>
      <c r="AJ13" s="48"/>
      <c r="AK13" s="48"/>
      <c r="AL13" s="48"/>
      <c r="AM13" s="48"/>
      <c r="AN13" s="48"/>
      <c r="AO13" s="48"/>
      <c r="AP13" s="48"/>
      <c r="AQ13" s="48"/>
      <c r="AR13" s="48"/>
      <c r="AS13" s="48"/>
      <c r="AT13" s="48"/>
      <c r="AU13" s="48"/>
      <c r="AV13" s="48"/>
      <c r="AW13" s="317"/>
    </row>
    <row r="14" spans="1:145" ht="13.5" customHeight="1">
      <c r="A14" s="316"/>
      <c r="B14" s="67"/>
      <c r="C14" s="48" t="s">
        <v>98</v>
      </c>
      <c r="D14" s="48"/>
      <c r="E14" s="48"/>
      <c r="F14" s="48"/>
      <c r="G14" s="48"/>
      <c r="H14" s="48"/>
      <c r="I14" s="48"/>
      <c r="J14" s="48"/>
      <c r="K14" s="48"/>
      <c r="L14" s="48"/>
      <c r="M14" s="48"/>
      <c r="N14" s="48"/>
      <c r="O14" s="48"/>
      <c r="P14" s="48"/>
      <c r="Q14" s="48"/>
      <c r="R14" s="48"/>
      <c r="S14" s="48"/>
      <c r="T14" s="48"/>
      <c r="U14" s="48"/>
      <c r="V14" s="48"/>
      <c r="W14" s="48"/>
      <c r="X14" s="48"/>
      <c r="Y14" s="48"/>
      <c r="Z14" s="48"/>
      <c r="AA14" s="51"/>
      <c r="AB14" s="48"/>
      <c r="AC14" s="48"/>
      <c r="AD14" s="48"/>
      <c r="AE14" s="48"/>
      <c r="AF14" s="48"/>
      <c r="AG14" s="48"/>
      <c r="AH14" s="48"/>
      <c r="AI14" s="48"/>
      <c r="AJ14" s="48"/>
      <c r="AK14" s="48"/>
      <c r="AL14" s="48"/>
      <c r="AM14" s="48"/>
      <c r="AN14" s="48"/>
      <c r="AO14" s="48"/>
      <c r="AP14" s="48"/>
      <c r="AQ14" s="48"/>
      <c r="AR14" s="48"/>
      <c r="AS14" s="48"/>
      <c r="AT14" s="48"/>
      <c r="AU14" s="48"/>
      <c r="AV14" s="48"/>
      <c r="AW14" s="317"/>
    </row>
    <row r="15" spans="1:145" ht="13.5" customHeight="1">
      <c r="A15" s="316"/>
      <c r="B15" s="49"/>
      <c r="C15" s="57"/>
      <c r="D15" s="48" t="s">
        <v>95</v>
      </c>
      <c r="E15" s="48"/>
      <c r="F15" s="48"/>
      <c r="G15" s="48"/>
      <c r="H15" s="48"/>
      <c r="I15" s="48"/>
      <c r="J15" s="48"/>
      <c r="K15" s="48"/>
      <c r="L15" s="48"/>
      <c r="M15" s="48"/>
      <c r="N15" s="48"/>
      <c r="O15" s="48"/>
      <c r="P15" s="48"/>
      <c r="Q15" s="48"/>
      <c r="R15" s="48"/>
      <c r="S15" s="48"/>
      <c r="T15" s="48"/>
      <c r="U15" s="48"/>
      <c r="V15" s="48"/>
      <c r="W15" s="48"/>
      <c r="X15" s="48"/>
      <c r="Y15" s="48"/>
      <c r="Z15" s="48"/>
      <c r="AA15" s="51"/>
      <c r="AB15" s="48"/>
      <c r="AC15" s="48"/>
      <c r="AD15" s="48"/>
      <c r="AE15" s="48"/>
      <c r="AF15" s="48"/>
      <c r="AG15" s="48"/>
      <c r="AH15" s="48"/>
      <c r="AI15" s="48"/>
      <c r="AJ15" s="48"/>
      <c r="AK15" s="48"/>
      <c r="AL15" s="48"/>
      <c r="AM15" s="48"/>
      <c r="AN15" s="48"/>
      <c r="AO15" s="48"/>
      <c r="AP15" s="48"/>
      <c r="AQ15" s="48"/>
      <c r="AR15" s="48"/>
      <c r="AS15" s="48"/>
      <c r="AT15" s="48"/>
      <c r="AU15" s="48"/>
      <c r="AV15" s="48"/>
      <c r="AW15" s="317"/>
    </row>
    <row r="16" spans="1:145" ht="13.5" customHeight="1">
      <c r="A16" s="316"/>
      <c r="B16" s="49"/>
      <c r="C16" s="57"/>
      <c r="D16" s="48" t="s">
        <v>99</v>
      </c>
      <c r="E16" s="57"/>
      <c r="F16" s="57"/>
      <c r="G16" s="57"/>
      <c r="H16" s="57"/>
      <c r="I16" s="48"/>
      <c r="J16" s="48"/>
      <c r="K16" s="48"/>
      <c r="L16" s="48"/>
      <c r="M16" s="48"/>
      <c r="N16" s="48"/>
      <c r="O16" s="48"/>
      <c r="P16" s="48"/>
      <c r="Q16" s="48"/>
      <c r="R16" s="48"/>
      <c r="S16" s="48"/>
      <c r="T16" s="48"/>
      <c r="U16" s="48"/>
      <c r="V16" s="48"/>
      <c r="W16" s="48"/>
      <c r="X16" s="48"/>
      <c r="Y16" s="48"/>
      <c r="Z16" s="48"/>
      <c r="AA16" s="51"/>
      <c r="AB16" s="48"/>
      <c r="AC16" s="48"/>
      <c r="AD16" s="48"/>
      <c r="AE16" s="48"/>
      <c r="AF16" s="48"/>
      <c r="AG16" s="48"/>
      <c r="AH16" s="48"/>
      <c r="AI16" s="48"/>
      <c r="AJ16" s="48"/>
      <c r="AK16" s="48"/>
      <c r="AL16" s="48"/>
      <c r="AM16" s="48"/>
      <c r="AN16" s="48"/>
      <c r="AO16" s="48"/>
      <c r="AP16" s="48"/>
      <c r="AQ16" s="48"/>
      <c r="AR16" s="48"/>
      <c r="AS16" s="48"/>
      <c r="AT16" s="48"/>
      <c r="AU16" s="48"/>
      <c r="AV16" s="48"/>
      <c r="AW16" s="317"/>
    </row>
    <row r="17" spans="1:49" ht="13.5" customHeight="1">
      <c r="A17" s="316"/>
      <c r="B17" s="49"/>
      <c r="C17" s="57"/>
      <c r="D17" s="48" t="s">
        <v>100</v>
      </c>
      <c r="E17" s="57"/>
      <c r="F17" s="57"/>
      <c r="G17" s="57"/>
      <c r="H17" s="57"/>
      <c r="I17" s="48"/>
      <c r="J17" s="48"/>
      <c r="K17" s="48"/>
      <c r="L17" s="48"/>
      <c r="M17" s="48"/>
      <c r="N17" s="48"/>
      <c r="O17" s="48"/>
      <c r="P17" s="48"/>
      <c r="Q17" s="48"/>
      <c r="R17" s="48"/>
      <c r="S17" s="48"/>
      <c r="T17" s="48"/>
      <c r="U17" s="48"/>
      <c r="V17" s="48"/>
      <c r="W17" s="48"/>
      <c r="X17" s="48"/>
      <c r="Y17" s="48"/>
      <c r="Z17" s="48"/>
      <c r="AA17" s="51"/>
      <c r="AB17" s="48"/>
      <c r="AC17" s="48"/>
      <c r="AD17" s="48"/>
      <c r="AE17" s="48"/>
      <c r="AF17" s="48"/>
      <c r="AG17" s="48"/>
      <c r="AH17" s="48"/>
      <c r="AI17" s="48"/>
      <c r="AJ17" s="48"/>
      <c r="AK17" s="48"/>
      <c r="AL17" s="48"/>
      <c r="AM17" s="48"/>
      <c r="AN17" s="48"/>
      <c r="AO17" s="48"/>
      <c r="AP17" s="48"/>
      <c r="AQ17" s="48"/>
      <c r="AR17" s="48"/>
      <c r="AS17" s="48"/>
      <c r="AT17" s="48"/>
      <c r="AU17" s="48"/>
      <c r="AV17" s="48"/>
      <c r="AW17" s="317"/>
    </row>
    <row r="18" spans="1:49" ht="13.5" customHeight="1">
      <c r="A18" s="316"/>
      <c r="B18" s="49"/>
      <c r="C18" s="48" t="s">
        <v>48</v>
      </c>
      <c r="D18" s="48"/>
      <c r="E18" s="57"/>
      <c r="F18" s="57"/>
      <c r="G18" s="57"/>
      <c r="H18" s="57"/>
      <c r="I18" s="48"/>
      <c r="J18" s="48"/>
      <c r="K18" s="48"/>
      <c r="L18" s="48"/>
      <c r="M18" s="48"/>
      <c r="N18" s="48"/>
      <c r="O18" s="48"/>
      <c r="P18" s="48"/>
      <c r="Q18" s="48"/>
      <c r="R18" s="48"/>
      <c r="S18" s="48"/>
      <c r="T18" s="48"/>
      <c r="U18" s="48"/>
      <c r="V18" s="48"/>
      <c r="W18" s="48"/>
      <c r="X18" s="48"/>
      <c r="Y18" s="48"/>
      <c r="Z18" s="48"/>
      <c r="AA18" s="51"/>
      <c r="AB18" s="48"/>
      <c r="AC18" s="48"/>
      <c r="AD18" s="48"/>
      <c r="AE18" s="48"/>
      <c r="AF18" s="48"/>
      <c r="AG18" s="48"/>
      <c r="AH18" s="48"/>
      <c r="AI18" s="48"/>
      <c r="AJ18" s="48"/>
      <c r="AK18" s="48"/>
      <c r="AL18" s="48"/>
      <c r="AM18" s="48"/>
      <c r="AN18" s="48"/>
      <c r="AO18" s="48"/>
      <c r="AP18" s="48"/>
      <c r="AQ18" s="48"/>
      <c r="AR18" s="48"/>
      <c r="AS18" s="48"/>
      <c r="AT18" s="48"/>
      <c r="AU18" s="48"/>
      <c r="AV18" s="48"/>
      <c r="AW18" s="317"/>
    </row>
    <row r="19" spans="1:49" ht="13.5" customHeight="1">
      <c r="A19" s="316"/>
      <c r="B19" s="49"/>
      <c r="C19" s="57"/>
      <c r="D19" s="48" t="s">
        <v>101</v>
      </c>
      <c r="E19" s="57"/>
      <c r="F19" s="57"/>
      <c r="G19" s="57"/>
      <c r="H19" s="57"/>
      <c r="I19" s="48"/>
      <c r="J19" s="48"/>
      <c r="K19" s="48"/>
      <c r="L19" s="48"/>
      <c r="M19" s="48"/>
      <c r="N19" s="48"/>
      <c r="O19" s="48"/>
      <c r="P19" s="48"/>
      <c r="Q19" s="48"/>
      <c r="R19" s="48"/>
      <c r="S19" s="48"/>
      <c r="T19" s="48"/>
      <c r="U19" s="48"/>
      <c r="V19" s="48"/>
      <c r="W19" s="48"/>
      <c r="X19" s="48"/>
      <c r="Y19" s="48"/>
      <c r="Z19" s="48"/>
      <c r="AA19" s="51"/>
      <c r="AB19" s="48"/>
      <c r="AC19" s="48"/>
      <c r="AD19" s="48"/>
      <c r="AE19" s="48"/>
      <c r="AF19" s="48"/>
      <c r="AG19" s="48"/>
      <c r="AH19" s="48"/>
      <c r="AI19" s="48"/>
      <c r="AJ19" s="48"/>
      <c r="AK19" s="48"/>
      <c r="AL19" s="48"/>
      <c r="AM19" s="48"/>
      <c r="AN19" s="48"/>
      <c r="AO19" s="48"/>
      <c r="AP19" s="48"/>
      <c r="AQ19" s="48"/>
      <c r="AR19" s="48"/>
      <c r="AS19" s="48"/>
      <c r="AT19" s="48"/>
      <c r="AU19" s="48"/>
      <c r="AV19" s="48"/>
      <c r="AW19" s="317"/>
    </row>
    <row r="20" spans="1:49" ht="13.5" customHeight="1">
      <c r="A20" s="316"/>
      <c r="B20" s="49"/>
      <c r="C20" s="57"/>
      <c r="D20" s="48" t="s">
        <v>102</v>
      </c>
      <c r="E20" s="57"/>
      <c r="F20" s="57"/>
      <c r="G20" s="57"/>
      <c r="H20" s="57"/>
      <c r="I20" s="48"/>
      <c r="J20" s="48"/>
      <c r="K20" s="48"/>
      <c r="L20" s="48"/>
      <c r="M20" s="48"/>
      <c r="N20" s="48"/>
      <c r="O20" s="48"/>
      <c r="P20" s="48"/>
      <c r="Q20" s="48"/>
      <c r="R20" s="48"/>
      <c r="S20" s="48"/>
      <c r="T20" s="48"/>
      <c r="U20" s="48"/>
      <c r="V20" s="48"/>
      <c r="W20" s="48"/>
      <c r="X20" s="48"/>
      <c r="Y20" s="48"/>
      <c r="Z20" s="48"/>
      <c r="AA20" s="51"/>
      <c r="AB20" s="48"/>
      <c r="AC20" s="48"/>
      <c r="AD20" s="48"/>
      <c r="AE20" s="48"/>
      <c r="AF20" s="48"/>
      <c r="AG20" s="48"/>
      <c r="AH20" s="48"/>
      <c r="AI20" s="48"/>
      <c r="AJ20" s="48"/>
      <c r="AK20" s="48"/>
      <c r="AL20" s="48"/>
      <c r="AM20" s="48"/>
      <c r="AN20" s="48"/>
      <c r="AO20" s="48"/>
      <c r="AP20" s="48"/>
      <c r="AQ20" s="48"/>
      <c r="AR20" s="48"/>
      <c r="AS20" s="48"/>
      <c r="AT20" s="48"/>
      <c r="AU20" s="48"/>
      <c r="AV20" s="48"/>
      <c r="AW20" s="317"/>
    </row>
    <row r="21" spans="1:49" ht="13.5" customHeight="1">
      <c r="A21" s="316"/>
      <c r="B21" s="49"/>
      <c r="C21" s="48" t="s">
        <v>103</v>
      </c>
      <c r="D21" s="57"/>
      <c r="E21" s="57"/>
      <c r="F21" s="57"/>
      <c r="G21" s="57"/>
      <c r="H21" s="57"/>
      <c r="I21" s="48"/>
      <c r="J21" s="48"/>
      <c r="K21" s="48"/>
      <c r="L21" s="48"/>
      <c r="M21" s="48"/>
      <c r="N21" s="48"/>
      <c r="O21" s="48"/>
      <c r="P21" s="48"/>
      <c r="Q21" s="48"/>
      <c r="R21" s="48"/>
      <c r="S21" s="48"/>
      <c r="T21" s="48"/>
      <c r="U21" s="48"/>
      <c r="V21" s="48"/>
      <c r="W21" s="48"/>
      <c r="X21" s="48"/>
      <c r="Y21" s="48"/>
      <c r="Z21" s="48"/>
      <c r="AA21" s="51"/>
      <c r="AB21" s="48"/>
      <c r="AC21" s="48"/>
      <c r="AD21" s="48"/>
      <c r="AE21" s="48"/>
      <c r="AF21" s="48"/>
      <c r="AG21" s="48"/>
      <c r="AH21" s="48"/>
      <c r="AI21" s="48"/>
      <c r="AJ21" s="48"/>
      <c r="AK21" s="48"/>
      <c r="AL21" s="48"/>
      <c r="AM21" s="48"/>
      <c r="AN21" s="48"/>
      <c r="AO21" s="48"/>
      <c r="AP21" s="48"/>
      <c r="AQ21" s="48"/>
      <c r="AR21" s="48"/>
      <c r="AS21" s="48"/>
      <c r="AT21" s="48"/>
      <c r="AU21" s="48"/>
      <c r="AV21" s="48"/>
      <c r="AW21" s="317"/>
    </row>
    <row r="22" spans="1:49" ht="13.5" customHeight="1">
      <c r="A22" s="316"/>
      <c r="B22" s="49"/>
      <c r="C22" s="57"/>
      <c r="D22" s="57" t="s">
        <v>104</v>
      </c>
      <c r="E22" s="57"/>
      <c r="F22" s="57"/>
      <c r="G22" s="57"/>
      <c r="H22" s="57"/>
      <c r="I22" s="48"/>
      <c r="J22" s="48"/>
      <c r="K22" s="48"/>
      <c r="L22" s="48"/>
      <c r="M22" s="48"/>
      <c r="N22" s="48"/>
      <c r="O22" s="48"/>
      <c r="P22" s="48"/>
      <c r="Q22" s="48"/>
      <c r="R22" s="48"/>
      <c r="S22" s="48"/>
      <c r="T22" s="48"/>
      <c r="U22" s="48"/>
      <c r="V22" s="48"/>
      <c r="W22" s="48"/>
      <c r="X22" s="48"/>
      <c r="Y22" s="48"/>
      <c r="Z22" s="48"/>
      <c r="AA22" s="51"/>
      <c r="AB22" s="48"/>
      <c r="AC22" s="48"/>
      <c r="AD22" s="48"/>
      <c r="AE22" s="48"/>
      <c r="AF22" s="48"/>
      <c r="AG22" s="48"/>
      <c r="AH22" s="48"/>
      <c r="AI22" s="48"/>
      <c r="AJ22" s="48"/>
      <c r="AK22" s="48"/>
      <c r="AL22" s="48"/>
      <c r="AM22" s="48"/>
      <c r="AN22" s="48"/>
      <c r="AO22" s="48"/>
      <c r="AP22" s="48"/>
      <c r="AQ22" s="48"/>
      <c r="AR22" s="48"/>
      <c r="AS22" s="48"/>
      <c r="AT22" s="48"/>
      <c r="AU22" s="48"/>
      <c r="AV22" s="48"/>
      <c r="AW22" s="317"/>
    </row>
    <row r="23" spans="1:49" ht="13.5" customHeight="1">
      <c r="A23" s="316"/>
      <c r="B23" s="49"/>
      <c r="C23" s="57"/>
      <c r="D23" s="57" t="s">
        <v>105</v>
      </c>
      <c r="E23" s="57"/>
      <c r="F23" s="57"/>
      <c r="G23" s="57"/>
      <c r="H23" s="57"/>
      <c r="I23" s="48"/>
      <c r="J23" s="48"/>
      <c r="K23" s="48"/>
      <c r="L23" s="48"/>
      <c r="M23" s="48"/>
      <c r="N23" s="48"/>
      <c r="O23" s="48"/>
      <c r="P23" s="48"/>
      <c r="Q23" s="48"/>
      <c r="R23" s="48"/>
      <c r="S23" s="48"/>
      <c r="T23" s="48"/>
      <c r="U23" s="48"/>
      <c r="V23" s="48"/>
      <c r="W23" s="48"/>
      <c r="X23" s="48"/>
      <c r="Y23" s="48"/>
      <c r="Z23" s="48"/>
      <c r="AA23" s="51"/>
      <c r="AB23" s="48"/>
      <c r="AC23" s="48"/>
      <c r="AD23" s="48"/>
      <c r="AE23" s="48"/>
      <c r="AF23" s="48"/>
      <c r="AG23" s="48"/>
      <c r="AH23" s="48"/>
      <c r="AI23" s="48"/>
      <c r="AJ23" s="48"/>
      <c r="AK23" s="48"/>
      <c r="AL23" s="48"/>
      <c r="AM23" s="48"/>
      <c r="AN23" s="48"/>
      <c r="AO23" s="48"/>
      <c r="AP23" s="48"/>
      <c r="AQ23" s="48"/>
      <c r="AR23" s="48"/>
      <c r="AS23" s="48"/>
      <c r="AT23" s="48"/>
      <c r="AU23" s="48"/>
      <c r="AV23" s="48"/>
      <c r="AW23" s="317"/>
    </row>
    <row r="24" spans="1:49" ht="13.5" customHeight="1">
      <c r="A24" s="316"/>
      <c r="B24" s="49"/>
      <c r="C24" s="48" t="s">
        <v>49</v>
      </c>
      <c r="D24" s="57"/>
      <c r="E24" s="57"/>
      <c r="F24" s="57"/>
      <c r="G24" s="57"/>
      <c r="H24" s="57"/>
      <c r="I24" s="48"/>
      <c r="J24" s="48"/>
      <c r="K24" s="48"/>
      <c r="L24" s="48"/>
      <c r="M24" s="48"/>
      <c r="N24" s="48"/>
      <c r="O24" s="48"/>
      <c r="P24" s="48"/>
      <c r="Q24" s="48"/>
      <c r="R24" s="48"/>
      <c r="S24" s="48"/>
      <c r="T24" s="48"/>
      <c r="U24" s="48"/>
      <c r="V24" s="48"/>
      <c r="W24" s="48"/>
      <c r="X24" s="48"/>
      <c r="Y24" s="48"/>
      <c r="Z24" s="48"/>
      <c r="AA24" s="51"/>
      <c r="AB24" s="48"/>
      <c r="AC24" s="48"/>
      <c r="AD24" s="48"/>
      <c r="AE24" s="48"/>
      <c r="AF24" s="48"/>
      <c r="AG24" s="48"/>
      <c r="AH24" s="48"/>
      <c r="AI24" s="48"/>
      <c r="AJ24" s="48"/>
      <c r="AK24" s="48"/>
      <c r="AL24" s="48"/>
      <c r="AM24" s="48"/>
      <c r="AN24" s="48"/>
      <c r="AO24" s="48"/>
      <c r="AP24" s="48"/>
      <c r="AQ24" s="48"/>
      <c r="AR24" s="48"/>
      <c r="AS24" s="48"/>
      <c r="AT24" s="48"/>
      <c r="AU24" s="48"/>
      <c r="AV24" s="48"/>
      <c r="AW24" s="317"/>
    </row>
    <row r="25" spans="1:49" ht="13.5" customHeight="1">
      <c r="A25" s="316"/>
      <c r="B25" s="52"/>
      <c r="C25" s="53" t="s">
        <v>106</v>
      </c>
      <c r="D25" s="58"/>
      <c r="E25" s="58"/>
      <c r="F25" s="58"/>
      <c r="G25" s="58"/>
      <c r="H25" s="58"/>
      <c r="I25" s="53"/>
      <c r="J25" s="53"/>
      <c r="K25" s="53"/>
      <c r="L25" s="53"/>
      <c r="M25" s="53"/>
      <c r="N25" s="53"/>
      <c r="O25" s="53"/>
      <c r="P25" s="53"/>
      <c r="Q25" s="53"/>
      <c r="R25" s="53"/>
      <c r="S25" s="53"/>
      <c r="T25" s="53"/>
      <c r="U25" s="53"/>
      <c r="V25" s="53"/>
      <c r="W25" s="53"/>
      <c r="X25" s="53"/>
      <c r="Y25" s="53"/>
      <c r="Z25" s="53"/>
      <c r="AA25" s="54"/>
      <c r="AB25" s="48"/>
      <c r="AC25" s="48"/>
      <c r="AD25" s="48"/>
      <c r="AE25" s="48"/>
      <c r="AF25" s="48"/>
      <c r="AG25" s="48"/>
      <c r="AH25" s="48"/>
      <c r="AI25" s="48"/>
      <c r="AJ25" s="48"/>
      <c r="AK25" s="48"/>
      <c r="AL25" s="48"/>
      <c r="AM25" s="48"/>
      <c r="AN25" s="48"/>
      <c r="AO25" s="48"/>
      <c r="AP25" s="48"/>
      <c r="AQ25" s="48"/>
      <c r="AR25" s="48"/>
      <c r="AS25" s="48"/>
      <c r="AT25" s="48"/>
      <c r="AU25" s="48"/>
      <c r="AV25" s="48"/>
      <c r="AW25" s="317"/>
    </row>
    <row r="26" spans="1:49" ht="13.5" customHeight="1">
      <c r="A26" s="316"/>
      <c r="B26" s="48"/>
      <c r="C26" s="57"/>
      <c r="D26" s="57"/>
      <c r="E26" s="57"/>
      <c r="F26" s="57"/>
      <c r="G26" s="57"/>
      <c r="H26" s="5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317"/>
    </row>
    <row r="27" spans="1:49" ht="13.5" customHeight="1">
      <c r="A27" s="316"/>
      <c r="B27" s="48"/>
      <c r="C27" s="57"/>
      <c r="D27" s="57"/>
      <c r="E27" s="57"/>
      <c r="F27" s="57"/>
      <c r="G27" s="57"/>
      <c r="H27" s="5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317"/>
    </row>
    <row r="28" spans="1:49" ht="13.5" customHeight="1">
      <c r="A28" s="316"/>
      <c r="B28" s="48"/>
      <c r="C28" s="5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317"/>
    </row>
    <row r="29" spans="1:49" ht="13.5" customHeight="1">
      <c r="A29" s="316"/>
      <c r="B29" s="48"/>
      <c r="C29" s="5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317"/>
    </row>
    <row r="30" spans="1:49" ht="13.5" customHeight="1">
      <c r="A30" s="316"/>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317"/>
    </row>
    <row r="31" spans="1:49" ht="13.5" customHeight="1">
      <c r="A31" s="316"/>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317"/>
    </row>
    <row r="32" spans="1:49" ht="13.5" customHeight="1">
      <c r="A32" s="316"/>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317"/>
    </row>
    <row r="33" spans="1:49" ht="13.5" customHeight="1">
      <c r="A33" s="316"/>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317"/>
    </row>
    <row r="34" spans="1:49" ht="13.5" customHeight="1">
      <c r="A34" s="318"/>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317"/>
    </row>
    <row r="35" spans="1:49" ht="13.5" customHeight="1">
      <c r="A35" s="318"/>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317"/>
    </row>
    <row r="36" spans="1:49" ht="13.5" customHeight="1">
      <c r="A36" s="318"/>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317"/>
    </row>
    <row r="37" spans="1:49" ht="13.5" customHeight="1">
      <c r="A37" s="316">
        <v>1</v>
      </c>
      <c r="B37" s="695" t="s">
        <v>107</v>
      </c>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695"/>
      <c r="AJ37" s="695"/>
      <c r="AK37" s="695"/>
      <c r="AL37" s="695"/>
      <c r="AM37" s="695"/>
      <c r="AN37" s="695"/>
      <c r="AO37" s="695"/>
      <c r="AP37" s="695"/>
      <c r="AQ37" s="695"/>
      <c r="AR37" s="695"/>
      <c r="AS37" s="695"/>
      <c r="AT37" s="695"/>
      <c r="AU37" s="695"/>
      <c r="AV37" s="695"/>
      <c r="AW37" s="317"/>
    </row>
    <row r="38" spans="1:49" ht="13.5" customHeight="1">
      <c r="A38" s="316"/>
      <c r="B38" s="695"/>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5"/>
      <c r="AP38" s="695"/>
      <c r="AQ38" s="695"/>
      <c r="AR38" s="695"/>
      <c r="AS38" s="695"/>
      <c r="AT38" s="695"/>
      <c r="AU38" s="695"/>
      <c r="AV38" s="695"/>
      <c r="AW38" s="317"/>
    </row>
    <row r="39" spans="1:49" ht="13.5" customHeight="1">
      <c r="A39" s="316"/>
      <c r="B39" s="695"/>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5"/>
      <c r="AP39" s="695"/>
      <c r="AQ39" s="695"/>
      <c r="AR39" s="695"/>
      <c r="AS39" s="695"/>
      <c r="AT39" s="695"/>
      <c r="AU39" s="695"/>
      <c r="AV39" s="695"/>
      <c r="AW39" s="317"/>
    </row>
    <row r="40" spans="1:49" ht="13.5" customHeight="1">
      <c r="A40" s="319"/>
      <c r="B40" s="696"/>
      <c r="C40" s="696"/>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320"/>
    </row>
    <row r="41" spans="1:49" s="321" customFormat="1" ht="13.5" customHeight="1"/>
    <row r="42" spans="1:49" s="321" customFormat="1" ht="13.5" customHeight="1"/>
    <row r="43" spans="1:49" s="321" customFormat="1" ht="13.5" customHeight="1"/>
    <row r="44" spans="1:49" s="321" customFormat="1" ht="13.5" customHeight="1"/>
    <row r="45" spans="1:49" s="321" customFormat="1" ht="13.5" customHeight="1"/>
    <row r="46" spans="1:49" s="321" customFormat="1" ht="13.5" customHeight="1"/>
    <row r="47" spans="1:49" s="321" customFormat="1" ht="13.5" customHeight="1"/>
    <row r="48" spans="1:49" s="321" customFormat="1" ht="13.5" customHeight="1"/>
    <row r="49" s="321" customFormat="1" ht="13.5" customHeight="1"/>
    <row r="50" s="321" customFormat="1" ht="13.5" customHeight="1"/>
    <row r="51" s="321" customFormat="1" ht="13.5" customHeight="1"/>
    <row r="52" s="321" customFormat="1" ht="13.5" customHeight="1"/>
    <row r="53" s="321" customFormat="1" ht="13.5" customHeight="1"/>
    <row r="54" s="321" customFormat="1" ht="13.5" customHeight="1"/>
    <row r="55" s="321" customFormat="1" ht="13.5" customHeight="1"/>
    <row r="56" s="321" customFormat="1" ht="13.5" customHeight="1"/>
    <row r="57" s="321" customFormat="1" ht="13.5" customHeight="1"/>
    <row r="58" s="321" customFormat="1" ht="13.5" customHeight="1"/>
    <row r="59" s="321" customFormat="1" ht="13.5" customHeight="1"/>
    <row r="60" s="321" customFormat="1" ht="13.5" customHeight="1"/>
    <row r="61" s="321" customFormat="1" ht="13.5" customHeight="1"/>
    <row r="62" s="321" customFormat="1" ht="13.5" customHeight="1"/>
    <row r="63" s="321" customFormat="1" ht="13.5" customHeight="1"/>
    <row r="64" s="321" customFormat="1" ht="13.5" customHeight="1"/>
    <row r="65" s="321" customFormat="1" ht="13.5" customHeight="1"/>
    <row r="66" s="321" customFormat="1" ht="13.5" customHeight="1"/>
    <row r="67" s="321" customFormat="1" ht="13.5" customHeight="1"/>
    <row r="68" s="321" customFormat="1" ht="13.5" customHeight="1"/>
    <row r="69" s="321" customFormat="1" ht="13.5" customHeight="1"/>
    <row r="70" s="321" customFormat="1" ht="13.5" customHeight="1"/>
    <row r="71" s="321" customFormat="1" ht="13.5" customHeight="1"/>
    <row r="72" s="321" customFormat="1" ht="13.5" customHeight="1"/>
    <row r="73" s="321" customFormat="1" ht="13.5" customHeight="1"/>
    <row r="74" s="321" customFormat="1" ht="13.5" customHeight="1"/>
    <row r="75" s="321" customFormat="1" ht="13.5" customHeight="1"/>
    <row r="76" s="321" customFormat="1" ht="13.5" customHeight="1"/>
    <row r="77" s="321" customFormat="1" ht="13.5" customHeight="1"/>
    <row r="78" s="321" customFormat="1" ht="13.5" customHeight="1"/>
    <row r="79" s="321" customFormat="1" ht="13.5" customHeight="1"/>
    <row r="80" s="321" customFormat="1" ht="13.5" customHeight="1"/>
    <row r="81" s="321" customFormat="1" ht="13.5" customHeight="1"/>
    <row r="82" s="321" customFormat="1" ht="13.5" customHeight="1"/>
    <row r="83" s="321" customFormat="1" ht="13.5" customHeight="1"/>
    <row r="84" s="321" customFormat="1" ht="13.5" customHeight="1"/>
    <row r="85" s="321" customFormat="1" ht="13.5" customHeight="1"/>
    <row r="86" s="321" customFormat="1" ht="13.5" customHeight="1"/>
    <row r="87" s="321" customFormat="1" ht="13.5" customHeight="1"/>
    <row r="88" s="321" customFormat="1" ht="13.5" customHeight="1"/>
    <row r="89" s="321" customFormat="1" ht="13.5" customHeight="1"/>
    <row r="90" s="321" customFormat="1" ht="13.5" customHeight="1"/>
    <row r="91" s="321" customFormat="1" ht="13.5" customHeight="1"/>
    <row r="92" s="321" customFormat="1" ht="13.5" customHeight="1"/>
    <row r="93" s="321" customFormat="1" ht="13.5" customHeight="1"/>
    <row r="94" s="321" customFormat="1" ht="13.5" customHeight="1"/>
    <row r="95" s="321" customFormat="1" ht="13.5" customHeight="1"/>
    <row r="96" s="321" customFormat="1" ht="13.5" customHeight="1"/>
    <row r="97" s="321" customFormat="1" ht="13.5" customHeight="1"/>
    <row r="98" s="321" customFormat="1" ht="13.5" customHeight="1"/>
    <row r="99" s="321" customFormat="1" ht="13.5" customHeight="1"/>
    <row r="100" s="321" customFormat="1" ht="13.5" customHeight="1"/>
    <row r="101" s="321" customFormat="1" ht="13.5" customHeight="1"/>
    <row r="102" s="321" customFormat="1" ht="13.5" customHeight="1"/>
    <row r="103" s="321" customFormat="1" ht="13.5" customHeight="1"/>
    <row r="104" s="321" customFormat="1" ht="13.5" customHeight="1"/>
    <row r="105" s="321" customFormat="1" ht="13.5" customHeight="1"/>
    <row r="106" s="321" customFormat="1" ht="13.5" customHeight="1"/>
    <row r="107" s="321" customFormat="1" ht="13.5" customHeight="1"/>
    <row r="108" s="321" customFormat="1" ht="13.5" customHeight="1"/>
    <row r="109" s="321" customFormat="1" ht="13.5" customHeight="1"/>
    <row r="110" s="321" customFormat="1" ht="13.5" customHeight="1"/>
    <row r="111" s="321" customFormat="1" ht="13.5" customHeight="1"/>
    <row r="112" s="321" customFormat="1" ht="13.5" customHeight="1"/>
    <row r="113" s="321" customFormat="1" ht="13.5" customHeight="1"/>
    <row r="114" s="321" customFormat="1" ht="13.5" customHeight="1"/>
    <row r="115" s="321" customFormat="1" ht="13.5" customHeight="1"/>
    <row r="116" s="321" customFormat="1" ht="13.5" customHeight="1"/>
    <row r="117" s="321" customFormat="1" ht="13.5" customHeight="1"/>
    <row r="118" s="321" customFormat="1" ht="13.5" customHeight="1"/>
    <row r="119" s="321" customFormat="1" ht="13.5" customHeight="1"/>
    <row r="120" s="321" customFormat="1" ht="13.5" customHeight="1"/>
    <row r="121" s="321" customFormat="1" ht="13.5" customHeight="1"/>
    <row r="122" s="321" customFormat="1" ht="13.5" customHeight="1"/>
    <row r="123" s="321" customFormat="1" ht="13.5" customHeight="1"/>
    <row r="124" s="321" customFormat="1" ht="13.5" customHeight="1"/>
    <row r="125" s="321" customFormat="1" ht="13.5" customHeight="1"/>
    <row r="126" s="321" customFormat="1" ht="13.5" customHeight="1"/>
    <row r="127" s="321" customFormat="1" ht="13.5" customHeight="1"/>
    <row r="128" s="321" customFormat="1" ht="13.5" customHeight="1"/>
    <row r="129" s="321" customFormat="1" ht="13.5" customHeight="1"/>
    <row r="130" s="321" customFormat="1" ht="13.5" customHeight="1"/>
    <row r="131" s="321" customFormat="1" ht="13.5" customHeight="1"/>
    <row r="132" s="321" customFormat="1" ht="13.5" customHeight="1"/>
    <row r="133" s="321" customFormat="1" ht="13.5" customHeight="1"/>
    <row r="134" s="321" customFormat="1" ht="13.5" customHeight="1"/>
    <row r="135" s="321" customFormat="1" ht="13.5" customHeight="1"/>
    <row r="136" s="321" customFormat="1" ht="13.5" customHeight="1"/>
    <row r="137" s="321" customFormat="1" ht="13.5" customHeight="1"/>
    <row r="138" s="321" customFormat="1" ht="13.5" customHeight="1"/>
    <row r="139" s="321" customFormat="1" ht="13.5" customHeight="1"/>
    <row r="140" s="321" customFormat="1" ht="13.5" customHeight="1"/>
    <row r="141" s="321" customFormat="1" ht="13.5" customHeight="1"/>
    <row r="142" s="321" customFormat="1" ht="13.5" customHeight="1"/>
    <row r="143" s="321" customFormat="1" ht="13.5" customHeight="1"/>
    <row r="144" s="321" customFormat="1" ht="13.5" customHeight="1"/>
    <row r="145" s="321" customFormat="1" ht="13.5" customHeight="1"/>
    <row r="146" s="321" customFormat="1" ht="13.5" customHeight="1"/>
    <row r="147" s="321" customFormat="1" ht="13.5" customHeight="1"/>
    <row r="148" s="321" customFormat="1" ht="13.5" customHeight="1"/>
    <row r="149" s="321" customFormat="1" ht="13.5" customHeight="1"/>
    <row r="150" s="321" customFormat="1" ht="13.5" customHeight="1"/>
    <row r="151" s="321" customFormat="1" ht="13.5" customHeight="1"/>
    <row r="152" s="321" customFormat="1" ht="13.5" customHeight="1"/>
    <row r="153" s="321" customFormat="1" ht="13.5" customHeight="1"/>
    <row r="154" s="321" customFormat="1" ht="13.5" customHeight="1"/>
    <row r="155" s="321" customFormat="1" ht="13.5" customHeight="1"/>
    <row r="156" s="321" customFormat="1" ht="13.5" customHeight="1"/>
    <row r="157" s="321" customFormat="1" ht="13.5" customHeight="1"/>
    <row r="158" s="321" customFormat="1" ht="13.5" customHeight="1"/>
    <row r="159" s="321" customFormat="1" ht="13.5" customHeight="1"/>
    <row r="160" s="321" customFormat="1" ht="13.5" customHeight="1"/>
    <row r="161" s="321" customFormat="1" ht="13.5" customHeight="1"/>
    <row r="162" s="321" customFormat="1" ht="13.5" customHeight="1"/>
    <row r="163" s="321" customFormat="1" ht="13.5" customHeight="1"/>
    <row r="164" s="321" customFormat="1" ht="13.5" customHeight="1"/>
    <row r="165" s="321" customFormat="1" ht="13.5" customHeight="1"/>
    <row r="166" s="321" customFormat="1" ht="13.5" customHeight="1"/>
    <row r="167" s="321" customFormat="1" ht="13.5" customHeight="1"/>
    <row r="168" s="321" customFormat="1" ht="13.5" customHeight="1"/>
    <row r="169" s="321" customFormat="1" ht="13.5" customHeight="1"/>
    <row r="170" s="321" customFormat="1" ht="13.5" customHeight="1"/>
    <row r="171" s="321" customFormat="1" ht="13.5" customHeight="1"/>
    <row r="172" s="321" customFormat="1" ht="13.5" customHeight="1"/>
    <row r="173" s="321" customFormat="1" ht="13.5" customHeight="1"/>
    <row r="174" s="321" customFormat="1" ht="13.5" customHeight="1"/>
    <row r="175" s="321" customFormat="1" ht="13.5" customHeight="1"/>
    <row r="176" s="321" customFormat="1" ht="13.5" customHeight="1"/>
    <row r="177" s="321" customFormat="1" ht="13.5" customHeight="1"/>
    <row r="178" s="321" customFormat="1" ht="13.5" customHeight="1"/>
    <row r="179" s="321" customFormat="1" ht="13.5" customHeight="1"/>
    <row r="180" s="321" customFormat="1" ht="13.5" customHeight="1"/>
    <row r="181" s="321" customFormat="1" ht="13.5" customHeight="1"/>
    <row r="182" s="321" customFormat="1" ht="13.5" customHeight="1"/>
    <row r="183" s="321" customFormat="1" ht="13.5" customHeight="1"/>
    <row r="184" s="321" customFormat="1" ht="13.5" customHeight="1"/>
    <row r="185" s="321" customFormat="1" ht="13.5" customHeight="1"/>
    <row r="186" s="321" customFormat="1" ht="13.5" customHeight="1"/>
    <row r="187" s="321" customFormat="1" ht="13.5" customHeight="1"/>
    <row r="188" s="321" customFormat="1" ht="13.5" customHeight="1"/>
    <row r="189" s="321" customFormat="1" ht="13.5" customHeight="1"/>
    <row r="190" s="321" customFormat="1" ht="13.5" customHeight="1"/>
    <row r="191" s="321" customFormat="1" ht="13.5" customHeight="1"/>
    <row r="192" s="321" customFormat="1" ht="13.5" customHeight="1"/>
    <row r="193" s="321" customFormat="1" ht="13.5" customHeight="1"/>
    <row r="194" s="321" customFormat="1" ht="13.5" customHeight="1"/>
    <row r="195" s="321" customFormat="1" ht="13.5" customHeight="1"/>
    <row r="196" s="321" customFormat="1" ht="13.5" customHeight="1"/>
    <row r="197" s="321" customFormat="1" ht="13.5" customHeight="1"/>
    <row r="198" s="321" customFormat="1" ht="13.5" customHeight="1"/>
    <row r="199" s="321" customFormat="1" ht="13.5" customHeight="1"/>
    <row r="200" s="321" customFormat="1" ht="13.5" customHeight="1"/>
    <row r="201" s="321" customFormat="1" ht="13.5" customHeight="1"/>
    <row r="202" s="321" customFormat="1" ht="13.5" customHeight="1"/>
    <row r="203" s="321" customFormat="1" ht="13.5" customHeight="1"/>
    <row r="204" s="321" customFormat="1" ht="13.5" customHeight="1"/>
    <row r="205" s="321" customFormat="1" ht="13.5" customHeight="1"/>
    <row r="206" s="321" customFormat="1" ht="13.5" customHeight="1"/>
    <row r="207" s="321" customFormat="1" ht="13.5" customHeight="1"/>
    <row r="208" s="321" customFormat="1" ht="13.5" customHeight="1"/>
    <row r="209" s="321" customFormat="1" ht="13.5" customHeight="1"/>
    <row r="210" s="321" customFormat="1" ht="13.5" customHeight="1"/>
    <row r="211" s="321" customFormat="1" ht="13.5" customHeight="1"/>
    <row r="212" s="321" customFormat="1" ht="13.5" customHeight="1"/>
    <row r="213" s="321" customFormat="1" ht="13.5" customHeight="1"/>
    <row r="214" s="321" customFormat="1" ht="13.5" customHeight="1"/>
    <row r="215" s="321" customFormat="1" ht="13.5" customHeight="1"/>
    <row r="216" s="321" customFormat="1" ht="13.5" customHeight="1"/>
    <row r="217" s="321" customFormat="1" ht="13.5" customHeight="1"/>
    <row r="218" s="321" customFormat="1" ht="13.5" customHeight="1"/>
    <row r="219" s="321" customFormat="1" ht="13.5" customHeight="1"/>
    <row r="220" s="321" customFormat="1" ht="13.5" customHeight="1"/>
    <row r="221" s="321" customFormat="1" ht="13.5" customHeight="1"/>
    <row r="222" s="321" customFormat="1" ht="13.5" customHeight="1"/>
    <row r="223" s="321" customFormat="1" ht="13.5" customHeight="1"/>
    <row r="224" s="321" customFormat="1" ht="13.5" customHeight="1"/>
    <row r="225" s="321" customFormat="1" ht="13.5" customHeight="1"/>
    <row r="226" s="321" customFormat="1" ht="13.5" customHeight="1"/>
  </sheetData>
  <sheetProtection selectLockedCells="1"/>
  <mergeCells count="17">
    <mergeCell ref="AT3:AW3"/>
    <mergeCell ref="A1:Y3"/>
    <mergeCell ref="AH4:AJ4"/>
    <mergeCell ref="AN4:AQ4"/>
    <mergeCell ref="B37:AV40"/>
    <mergeCell ref="B12:Y13"/>
    <mergeCell ref="AT4:AW4"/>
    <mergeCell ref="A4:D4"/>
    <mergeCell ref="E4:M4"/>
    <mergeCell ref="N4:O4"/>
    <mergeCell ref="P4:Y4"/>
    <mergeCell ref="AF4:AG4"/>
    <mergeCell ref="AF1:AO2"/>
    <mergeCell ref="AP1:AW2"/>
    <mergeCell ref="Z3:AA4"/>
    <mergeCell ref="AB3:AE4"/>
    <mergeCell ref="AN3:AQ3"/>
  </mergeCells>
  <conditionalFormatting sqref="E4:M4">
    <cfRule type="cellIs" dxfId="188" priority="4" operator="equal">
      <formula>0</formula>
    </cfRule>
  </conditionalFormatting>
  <conditionalFormatting sqref="P4:Y4">
    <cfRule type="cellIs" dxfId="187" priority="3" operator="equal">
      <formula>0</formula>
    </cfRule>
  </conditionalFormatting>
  <conditionalFormatting sqref="AN4:AQ4">
    <cfRule type="cellIs" dxfId="186" priority="2" operator="equal">
      <formula>0</formula>
    </cfRule>
  </conditionalFormatting>
  <conditionalFormatting sqref="AT3:AW3">
    <cfRule type="cellIs" dxfId="185" priority="1" operator="equal">
      <formula>0</formula>
    </cfRule>
  </conditionalFormatting>
  <printOptions horizontalCentered="1"/>
  <pageMargins left="0.78740157480314965" right="0.78740157480314965" top="0.59055118110236227" bottom="0.39370078740157483" header="0.39370078740157483" footer="0.39370078740157483"/>
  <pageSetup paperSize="9" scale="97" orientation="landscape" r:id="rId1"/>
  <headerFooter alignWithMargins="0">
    <oddFooter>&amp;R&amp;8&amp;F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ET145"/>
  <sheetViews>
    <sheetView showGridLines="0" zoomScale="110" zoomScaleNormal="110" zoomScaleSheetLayoutView="120" zoomScalePageLayoutView="90" workbookViewId="0">
      <selection activeCell="AR1" sqref="AR1:AX2"/>
    </sheetView>
  </sheetViews>
  <sheetFormatPr baseColWidth="10" defaultColWidth="2.6640625" defaultRowHeight="13.2" customHeight="1"/>
  <cols>
    <col min="1" max="4" width="2.6640625" style="123" customWidth="1"/>
    <col min="5" max="6" width="2.6640625" style="123"/>
    <col min="7" max="7" width="2.6640625" style="123" customWidth="1"/>
    <col min="8" max="9" width="2.6640625" style="123"/>
    <col min="10" max="10" width="2.6640625" style="123" customWidth="1"/>
    <col min="11" max="11" width="2.6640625" style="123"/>
    <col min="12" max="14" width="2.6640625" style="123" customWidth="1"/>
    <col min="15" max="16" width="2.6640625" style="292" customWidth="1"/>
    <col min="17" max="18" width="2.6640625" style="292"/>
    <col min="19" max="19" width="2.6640625" style="123" customWidth="1"/>
    <col min="20" max="20" width="2.6640625" style="123"/>
    <col min="21" max="32" width="2.6640625" style="123" customWidth="1"/>
    <col min="33" max="34" width="2.6640625" style="123"/>
    <col min="35" max="35" width="2.6640625" style="123" customWidth="1"/>
    <col min="36" max="36" width="2.6640625" style="123"/>
    <col min="37" max="40" width="2.6640625" style="123" customWidth="1"/>
    <col min="41" max="41" width="2.6640625" style="123"/>
    <col min="42" max="42" width="3" style="123" bestFit="1" customWidth="1"/>
    <col min="43" max="44" width="2.6640625" style="123" customWidth="1"/>
    <col min="45" max="47" width="2.6640625" style="123"/>
    <col min="48" max="48" width="2.6640625" style="123" customWidth="1"/>
    <col min="49" max="49" width="3.5546875" style="123" customWidth="1"/>
    <col min="50" max="50" width="2.6640625" style="123"/>
    <col min="51" max="51" width="25.33203125" style="121" customWidth="1"/>
    <col min="52" max="67" width="2.6640625" style="121" customWidth="1"/>
    <col min="68" max="68" width="4.109375" style="121" customWidth="1"/>
    <col min="69" max="69" width="4.33203125" style="121" customWidth="1"/>
    <col min="70" max="70" width="10.33203125" style="121" customWidth="1"/>
    <col min="71" max="71" width="5.6640625" style="121" customWidth="1"/>
    <col min="72" max="72" width="2.6640625" style="121" customWidth="1"/>
    <col min="73" max="73" width="3.6640625" style="121" customWidth="1"/>
    <col min="74" max="75" width="5.6640625" style="121" customWidth="1"/>
    <col min="76" max="76" width="6.5546875" style="121" bestFit="1" customWidth="1"/>
    <col min="77" max="80" width="6.6640625" style="121" customWidth="1"/>
    <col min="81" max="81" width="2.6640625" style="121" customWidth="1"/>
    <col min="82" max="82" width="3.6640625" style="121" customWidth="1"/>
    <col min="83" max="84" width="5.6640625" style="121" customWidth="1"/>
    <col min="85" max="85" width="5.109375" style="122" bestFit="1" customWidth="1"/>
    <col min="86" max="89" width="6.6640625" style="122" customWidth="1"/>
    <col min="90" max="90" width="2.6640625" style="122" customWidth="1"/>
    <col min="91" max="91" width="3.6640625" style="122" customWidth="1"/>
    <col min="92" max="93" width="5.6640625" style="122" customWidth="1"/>
    <col min="94" max="94" width="4.6640625" style="122" customWidth="1"/>
    <col min="95" max="98" width="6.6640625" style="122" customWidth="1"/>
    <col min="99" max="150" width="2.6640625" style="122"/>
    <col min="151" max="16384" width="2.6640625" style="123"/>
  </cols>
  <sheetData>
    <row r="1" spans="1:150" ht="13.5" customHeight="1" thickBot="1">
      <c r="A1" s="1099" t="s">
        <v>259</v>
      </c>
      <c r="B1" s="1100"/>
      <c r="C1" s="1100"/>
      <c r="D1" s="1100"/>
      <c r="E1" s="1100"/>
      <c r="F1" s="1100"/>
      <c r="G1" s="1100"/>
      <c r="H1" s="1100"/>
      <c r="I1" s="1100"/>
      <c r="J1" s="1100"/>
      <c r="K1" s="1100"/>
      <c r="L1" s="1100"/>
      <c r="M1" s="1100"/>
      <c r="N1" s="1100"/>
      <c r="O1" s="1100"/>
      <c r="P1" s="1100"/>
      <c r="Q1" s="1100"/>
      <c r="R1" s="1100"/>
      <c r="S1" s="1100"/>
      <c r="T1" s="1100"/>
      <c r="U1" s="1100"/>
      <c r="V1" s="1100"/>
      <c r="W1" s="1100"/>
      <c r="X1" s="1101"/>
      <c r="Y1" s="1"/>
      <c r="Z1" s="2"/>
      <c r="AA1" s="2"/>
      <c r="AB1" s="3"/>
      <c r="AC1" s="3"/>
      <c r="AD1" s="4"/>
      <c r="AE1" s="787">
        <v>1.163</v>
      </c>
      <c r="AF1" s="788"/>
      <c r="AG1" s="791" t="s">
        <v>110</v>
      </c>
      <c r="AH1" s="791"/>
      <c r="AI1" s="791"/>
      <c r="AJ1" s="791"/>
      <c r="AK1" s="791"/>
      <c r="AL1" s="791"/>
      <c r="AM1" s="62"/>
      <c r="AN1" s="119"/>
      <c r="AO1" s="119"/>
      <c r="AP1" s="793" t="s">
        <v>190</v>
      </c>
      <c r="AQ1" s="794"/>
      <c r="AR1" s="795" t="s">
        <v>254</v>
      </c>
      <c r="AS1" s="795"/>
      <c r="AT1" s="795"/>
      <c r="AU1" s="795"/>
      <c r="AV1" s="795"/>
      <c r="AW1" s="795"/>
      <c r="AX1" s="796"/>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row>
    <row r="2" spans="1:150" ht="13.5" customHeight="1" thickBot="1">
      <c r="A2" s="1102"/>
      <c r="B2" s="1103"/>
      <c r="C2" s="1103"/>
      <c r="D2" s="1103"/>
      <c r="E2" s="1103"/>
      <c r="F2" s="1103"/>
      <c r="G2" s="1103"/>
      <c r="H2" s="1103"/>
      <c r="I2" s="1103"/>
      <c r="J2" s="1103"/>
      <c r="K2" s="1103"/>
      <c r="L2" s="1103"/>
      <c r="M2" s="1103"/>
      <c r="N2" s="1103"/>
      <c r="O2" s="1103"/>
      <c r="P2" s="1103"/>
      <c r="Q2" s="1103"/>
      <c r="R2" s="1103"/>
      <c r="S2" s="1103"/>
      <c r="T2" s="1103"/>
      <c r="U2" s="1103"/>
      <c r="V2" s="1103"/>
      <c r="W2" s="1103"/>
      <c r="X2" s="1104"/>
      <c r="Y2" s="5"/>
      <c r="Z2" s="6"/>
      <c r="AA2" s="118" t="s">
        <v>189</v>
      </c>
      <c r="AB2" s="7"/>
      <c r="AC2" s="7"/>
      <c r="AD2" s="8"/>
      <c r="AE2" s="789"/>
      <c r="AF2" s="790"/>
      <c r="AG2" s="792"/>
      <c r="AH2" s="792"/>
      <c r="AI2" s="792"/>
      <c r="AJ2" s="792"/>
      <c r="AK2" s="792"/>
      <c r="AL2" s="792"/>
      <c r="AM2" s="63"/>
      <c r="AN2" s="125"/>
      <c r="AO2" s="125"/>
      <c r="AP2" s="635">
        <v>4</v>
      </c>
      <c r="AQ2" s="568">
        <v>18</v>
      </c>
      <c r="AR2" s="797"/>
      <c r="AS2" s="797"/>
      <c r="AT2" s="797"/>
      <c r="AU2" s="797"/>
      <c r="AV2" s="797"/>
      <c r="AW2" s="797"/>
      <c r="AX2" s="798"/>
      <c r="AY2" s="122"/>
      <c r="AZ2" s="601" t="s">
        <v>226</v>
      </c>
      <c r="BA2" s="602"/>
      <c r="BB2" s="602"/>
      <c r="BC2" s="602"/>
      <c r="BD2" s="602"/>
      <c r="BE2" s="602"/>
      <c r="BF2" s="602"/>
      <c r="BG2" s="603"/>
      <c r="BH2" s="603"/>
      <c r="BI2" s="603"/>
      <c r="BJ2" s="603"/>
      <c r="BK2" s="603"/>
      <c r="BL2" s="604"/>
      <c r="BM2" s="122"/>
      <c r="BN2" s="122"/>
      <c r="BO2" s="799" t="s">
        <v>214</v>
      </c>
      <c r="BP2" s="800"/>
      <c r="BQ2" s="800"/>
      <c r="BR2" s="800"/>
      <c r="BS2" s="801"/>
      <c r="BT2" s="122"/>
      <c r="BU2" s="778" t="s">
        <v>142</v>
      </c>
      <c r="BV2" s="779"/>
      <c r="BW2" s="780"/>
      <c r="BX2" s="784" t="s">
        <v>210</v>
      </c>
      <c r="BY2" s="126"/>
      <c r="BZ2" s="258"/>
      <c r="CA2" s="126" t="s">
        <v>213</v>
      </c>
      <c r="CB2" s="457">
        <f>N16</f>
        <v>10</v>
      </c>
      <c r="CC2" s="122"/>
      <c r="CD2" s="778" t="s">
        <v>209</v>
      </c>
      <c r="CE2" s="779"/>
      <c r="CF2" s="780"/>
      <c r="CG2" s="784" t="s">
        <v>210</v>
      </c>
      <c r="CH2" s="126"/>
      <c r="CI2" s="258"/>
      <c r="CJ2" s="126" t="s">
        <v>213</v>
      </c>
      <c r="CK2" s="457">
        <f>N16</f>
        <v>10</v>
      </c>
      <c r="CM2" s="778" t="s">
        <v>216</v>
      </c>
      <c r="CN2" s="779"/>
      <c r="CO2" s="780"/>
      <c r="CP2" s="784" t="s">
        <v>210</v>
      </c>
      <c r="CQ2" s="126"/>
      <c r="CR2" s="258"/>
      <c r="CS2" s="126" t="s">
        <v>213</v>
      </c>
      <c r="CT2" s="457">
        <f>CB2</f>
        <v>10</v>
      </c>
    </row>
    <row r="3" spans="1:150" ht="13.5" customHeight="1" thickTop="1">
      <c r="A3" s="1105"/>
      <c r="B3" s="1106"/>
      <c r="C3" s="1106"/>
      <c r="D3" s="1106"/>
      <c r="E3" s="1106"/>
      <c r="F3" s="1106"/>
      <c r="G3" s="1106"/>
      <c r="H3" s="1106"/>
      <c r="I3" s="1106"/>
      <c r="J3" s="1106"/>
      <c r="K3" s="1106"/>
      <c r="L3" s="1106"/>
      <c r="M3" s="1106"/>
      <c r="N3" s="1106"/>
      <c r="O3" s="1106"/>
      <c r="P3" s="1106"/>
      <c r="Q3" s="1106"/>
      <c r="R3" s="1106"/>
      <c r="S3" s="1106"/>
      <c r="T3" s="1106"/>
      <c r="U3" s="1106"/>
      <c r="V3" s="1106"/>
      <c r="W3" s="1106"/>
      <c r="X3" s="1107"/>
      <c r="Y3" s="722"/>
      <c r="Z3" s="723"/>
      <c r="AA3" s="726"/>
      <c r="AB3" s="726"/>
      <c r="AC3" s="726"/>
      <c r="AD3" s="727"/>
      <c r="AE3" s="127"/>
      <c r="AF3" s="128"/>
      <c r="AG3" s="129"/>
      <c r="AH3" s="130" t="s">
        <v>52</v>
      </c>
      <c r="AI3" s="764">
        <v>2</v>
      </c>
      <c r="AJ3" s="764"/>
      <c r="AK3" s="764"/>
      <c r="AL3" s="764"/>
      <c r="AM3" s="764"/>
      <c r="AN3" s="764"/>
      <c r="AO3" s="12"/>
      <c r="AP3" s="13"/>
      <c r="AQ3" s="131" t="s">
        <v>0</v>
      </c>
      <c r="AR3" s="766">
        <v>45689</v>
      </c>
      <c r="AS3" s="767"/>
      <c r="AT3" s="767"/>
      <c r="AU3" s="767"/>
      <c r="AV3" s="767"/>
      <c r="AW3" s="767"/>
      <c r="AX3" s="768"/>
      <c r="AY3" s="122"/>
      <c r="AZ3" s="605"/>
      <c r="BA3" s="747" t="s">
        <v>227</v>
      </c>
      <c r="BB3" s="747"/>
      <c r="BC3" s="747"/>
      <c r="BD3" s="747"/>
      <c r="BE3" s="747"/>
      <c r="BF3" s="747"/>
      <c r="BG3" s="747"/>
      <c r="BH3" s="747"/>
      <c r="BI3" s="747"/>
      <c r="BJ3" s="747"/>
      <c r="BK3" s="747"/>
      <c r="BL3" s="748"/>
      <c r="BM3" s="122"/>
      <c r="BN3" s="122"/>
      <c r="BO3" s="802"/>
      <c r="BP3" s="803"/>
      <c r="BQ3" s="803"/>
      <c r="BR3" s="803"/>
      <c r="BS3" s="804"/>
      <c r="BT3" s="122"/>
      <c r="BU3" s="781"/>
      <c r="BV3" s="782"/>
      <c r="BW3" s="783"/>
      <c r="BX3" s="785"/>
      <c r="BY3" s="481"/>
      <c r="BZ3" s="769" t="s">
        <v>211</v>
      </c>
      <c r="CA3" s="770"/>
      <c r="CB3" s="771"/>
      <c r="CC3" s="122"/>
      <c r="CD3" s="781"/>
      <c r="CE3" s="782"/>
      <c r="CF3" s="783"/>
      <c r="CG3" s="785"/>
      <c r="CH3" s="120"/>
      <c r="CI3" s="769" t="s">
        <v>211</v>
      </c>
      <c r="CJ3" s="770"/>
      <c r="CK3" s="771"/>
      <c r="CM3" s="781"/>
      <c r="CN3" s="782"/>
      <c r="CO3" s="783"/>
      <c r="CP3" s="785"/>
      <c r="CQ3" s="120"/>
      <c r="CR3" s="769" t="s">
        <v>211</v>
      </c>
      <c r="CS3" s="770"/>
      <c r="CT3" s="771"/>
    </row>
    <row r="4" spans="1:150" ht="13.5" customHeight="1" thickBot="1">
      <c r="A4" s="60" t="s">
        <v>3</v>
      </c>
      <c r="B4" s="59"/>
      <c r="C4" s="59"/>
      <c r="D4" s="59"/>
      <c r="E4" s="772" t="s">
        <v>252</v>
      </c>
      <c r="F4" s="772"/>
      <c r="G4" s="772"/>
      <c r="H4" s="772"/>
      <c r="I4" s="772"/>
      <c r="J4" s="772"/>
      <c r="K4" s="772"/>
      <c r="L4" s="772"/>
      <c r="M4" s="772"/>
      <c r="N4" s="61"/>
      <c r="O4" s="64" t="s">
        <v>35</v>
      </c>
      <c r="P4" s="772" t="s">
        <v>253</v>
      </c>
      <c r="Q4" s="772"/>
      <c r="R4" s="772"/>
      <c r="S4" s="772"/>
      <c r="T4" s="772"/>
      <c r="U4" s="772"/>
      <c r="V4" s="772"/>
      <c r="W4" s="772"/>
      <c r="X4" s="773"/>
      <c r="Y4" s="724"/>
      <c r="Z4" s="725"/>
      <c r="AA4" s="728"/>
      <c r="AB4" s="728"/>
      <c r="AC4" s="728"/>
      <c r="AD4" s="729"/>
      <c r="AE4" s="133"/>
      <c r="AF4" s="65"/>
      <c r="AG4" s="11"/>
      <c r="AH4" s="66" t="s">
        <v>53</v>
      </c>
      <c r="AI4" s="774" t="s">
        <v>245</v>
      </c>
      <c r="AJ4" s="774"/>
      <c r="AK4" s="774"/>
      <c r="AL4" s="774"/>
      <c r="AM4" s="774"/>
      <c r="AN4" s="774"/>
      <c r="AO4" s="9"/>
      <c r="AP4" s="10"/>
      <c r="AQ4" s="134" t="s">
        <v>17</v>
      </c>
      <c r="AR4" s="775" t="s">
        <v>256</v>
      </c>
      <c r="AS4" s="775"/>
      <c r="AT4" s="775"/>
      <c r="AU4" s="775"/>
      <c r="AV4" s="775"/>
      <c r="AW4" s="775"/>
      <c r="AX4" s="776"/>
      <c r="AY4" s="122"/>
      <c r="AZ4" s="605"/>
      <c r="BA4" s="747"/>
      <c r="BB4" s="747"/>
      <c r="BC4" s="747"/>
      <c r="BD4" s="747"/>
      <c r="BE4" s="747"/>
      <c r="BF4" s="747"/>
      <c r="BG4" s="747"/>
      <c r="BH4" s="747"/>
      <c r="BI4" s="747"/>
      <c r="BJ4" s="747"/>
      <c r="BK4" s="747"/>
      <c r="BL4" s="748"/>
      <c r="BM4" s="122"/>
      <c r="BN4" s="122"/>
      <c r="BO4" s="802"/>
      <c r="BP4" s="803"/>
      <c r="BQ4" s="803"/>
      <c r="BR4" s="803"/>
      <c r="BS4" s="804"/>
      <c r="BT4" s="122"/>
      <c r="BU4" s="777" t="s">
        <v>215</v>
      </c>
      <c r="BV4" s="472"/>
      <c r="BW4" s="473"/>
      <c r="BX4" s="785"/>
      <c r="BY4" s="120"/>
      <c r="BZ4" s="262"/>
      <c r="CA4" s="120" t="s">
        <v>9</v>
      </c>
      <c r="CB4" s="268"/>
      <c r="CC4" s="122"/>
      <c r="CD4" s="777" t="s">
        <v>215</v>
      </c>
      <c r="CE4" s="472"/>
      <c r="CF4" s="473"/>
      <c r="CG4" s="785"/>
      <c r="CH4" s="120"/>
      <c r="CI4" s="262"/>
      <c r="CJ4" s="120" t="s">
        <v>9</v>
      </c>
      <c r="CK4" s="268"/>
      <c r="CM4" s="777" t="s">
        <v>215</v>
      </c>
      <c r="CN4" s="472"/>
      <c r="CO4" s="473"/>
      <c r="CP4" s="785"/>
      <c r="CQ4" s="120"/>
      <c r="CR4" s="262"/>
      <c r="CS4" s="120" t="s">
        <v>9</v>
      </c>
      <c r="CT4" s="268"/>
    </row>
    <row r="5" spans="1:150" s="146" customFormat="1" ht="13.5" customHeight="1" thickTop="1" thickBot="1">
      <c r="A5" s="758">
        <v>1</v>
      </c>
      <c r="B5" s="759"/>
      <c r="C5" s="137" t="s">
        <v>240</v>
      </c>
      <c r="D5" s="138"/>
      <c r="E5" s="138"/>
      <c r="F5" s="138"/>
      <c r="G5" s="138"/>
      <c r="H5" s="138"/>
      <c r="I5" s="138"/>
      <c r="J5" s="138"/>
      <c r="K5" s="138"/>
      <c r="L5" s="138"/>
      <c r="M5" s="138"/>
      <c r="N5" s="138"/>
      <c r="O5" s="138"/>
      <c r="P5" s="138"/>
      <c r="Q5" s="138"/>
      <c r="R5" s="138"/>
      <c r="S5" s="139"/>
      <c r="T5" s="140" t="s">
        <v>50</v>
      </c>
      <c r="U5" s="758">
        <v>2</v>
      </c>
      <c r="V5" s="759"/>
      <c r="W5" s="137" t="s">
        <v>159</v>
      </c>
      <c r="X5" s="138"/>
      <c r="Y5" s="138"/>
      <c r="Z5" s="138"/>
      <c r="AA5" s="138"/>
      <c r="AB5" s="138"/>
      <c r="AC5" s="138"/>
      <c r="AD5" s="138"/>
      <c r="AE5" s="138"/>
      <c r="AF5" s="138"/>
      <c r="AG5" s="138"/>
      <c r="AH5" s="138"/>
      <c r="AI5" s="138"/>
      <c r="AJ5" s="138"/>
      <c r="AK5" s="138"/>
      <c r="AL5" s="138"/>
      <c r="AM5" s="138"/>
      <c r="AN5" s="138"/>
      <c r="AO5" s="138"/>
      <c r="AP5" s="138"/>
      <c r="AQ5" s="139"/>
      <c r="AR5" s="648" t="s">
        <v>250</v>
      </c>
      <c r="AS5" s="140"/>
      <c r="AT5" s="140"/>
      <c r="AU5" s="140"/>
      <c r="AV5" s="140"/>
      <c r="AW5" s="140"/>
      <c r="AX5" s="646"/>
      <c r="AY5" s="122"/>
      <c r="AZ5" s="605"/>
      <c r="BA5" s="747"/>
      <c r="BB5" s="747"/>
      <c r="BC5" s="747"/>
      <c r="BD5" s="747"/>
      <c r="BE5" s="747"/>
      <c r="BF5" s="747"/>
      <c r="BG5" s="747"/>
      <c r="BH5" s="747"/>
      <c r="BI5" s="747"/>
      <c r="BJ5" s="747"/>
      <c r="BK5" s="747"/>
      <c r="BL5" s="748"/>
      <c r="BM5" s="122"/>
      <c r="BN5" s="122"/>
      <c r="BO5" s="802"/>
      <c r="BP5" s="803"/>
      <c r="BQ5" s="803"/>
      <c r="BR5" s="803"/>
      <c r="BS5" s="804"/>
      <c r="BT5" s="122"/>
      <c r="BU5" s="777"/>
      <c r="BV5" s="474"/>
      <c r="BW5" s="475"/>
      <c r="BX5" s="785"/>
      <c r="BY5" s="480" t="s">
        <v>185</v>
      </c>
      <c r="BZ5" s="451">
        <f>Q18</f>
        <v>60</v>
      </c>
      <c r="CA5" s="452">
        <f>Q17</f>
        <v>42</v>
      </c>
      <c r="CB5" s="453">
        <f>Q16</f>
        <v>38</v>
      </c>
      <c r="CC5" s="122"/>
      <c r="CD5" s="777"/>
      <c r="CE5" s="482"/>
      <c r="CF5" s="475"/>
      <c r="CG5" s="785"/>
      <c r="CH5" s="470" t="s">
        <v>185</v>
      </c>
      <c r="CI5" s="451">
        <f>'A1'!S25</f>
        <v>60</v>
      </c>
      <c r="CJ5" s="452">
        <f>'A1'!V25</f>
        <v>42</v>
      </c>
      <c r="CK5" s="453">
        <f>'A1'!Y25</f>
        <v>38</v>
      </c>
      <c r="CL5" s="122"/>
      <c r="CM5" s="777"/>
      <c r="CN5" s="474"/>
      <c r="CO5" s="475"/>
      <c r="CP5" s="785"/>
      <c r="CQ5" s="470" t="s">
        <v>185</v>
      </c>
      <c r="CR5" s="451">
        <f>BZ5</f>
        <v>60</v>
      </c>
      <c r="CS5" s="452">
        <f>CA5</f>
        <v>42</v>
      </c>
      <c r="CT5" s="453">
        <f>CB5</f>
        <v>38</v>
      </c>
      <c r="CU5" s="122"/>
      <c r="CV5" s="122"/>
      <c r="CW5" s="122"/>
      <c r="CX5" s="122"/>
      <c r="CY5" s="122"/>
      <c r="CZ5" s="122"/>
      <c r="DA5" s="122"/>
      <c r="DB5" s="122"/>
      <c r="DC5" s="122"/>
      <c r="DD5" s="122"/>
      <c r="DE5" s="122"/>
      <c r="DF5" s="122"/>
      <c r="DG5" s="145"/>
      <c r="DH5" s="145"/>
      <c r="DI5" s="145"/>
      <c r="DJ5" s="145"/>
      <c r="DK5" s="145"/>
      <c r="DL5" s="145"/>
      <c r="DM5" s="145"/>
      <c r="DN5" s="145"/>
      <c r="DO5" s="145"/>
      <c r="DP5" s="145"/>
      <c r="DQ5" s="145"/>
      <c r="DR5" s="145"/>
      <c r="DS5" s="145"/>
      <c r="DT5" s="145"/>
      <c r="DU5" s="145"/>
      <c r="DV5" s="145"/>
      <c r="DW5" s="145"/>
      <c r="DX5" s="145"/>
      <c r="DY5" s="145"/>
      <c r="DZ5" s="145"/>
      <c r="EA5" s="145"/>
      <c r="EB5" s="145"/>
      <c r="EC5" s="145"/>
      <c r="ED5" s="145"/>
      <c r="EE5" s="145"/>
      <c r="EF5" s="145"/>
      <c r="EG5" s="145"/>
      <c r="EH5" s="145"/>
      <c r="EI5" s="145"/>
      <c r="EJ5" s="145"/>
      <c r="EK5" s="145"/>
      <c r="EL5" s="145"/>
      <c r="EM5" s="145"/>
      <c r="EN5" s="145"/>
      <c r="EO5" s="145"/>
      <c r="EP5" s="145"/>
      <c r="EQ5" s="145"/>
      <c r="ER5" s="145"/>
      <c r="ES5" s="145"/>
      <c r="ET5" s="145"/>
    </row>
    <row r="6" spans="1:150" s="146" customFormat="1" ht="14.25" customHeight="1" thickBot="1">
      <c r="A6" s="147" t="s">
        <v>4</v>
      </c>
      <c r="B6" s="148"/>
      <c r="C6" s="148"/>
      <c r="D6" s="148"/>
      <c r="E6" s="148"/>
      <c r="F6" s="148"/>
      <c r="G6" s="760">
        <v>76</v>
      </c>
      <c r="H6" s="760"/>
      <c r="I6" s="148" t="s">
        <v>5</v>
      </c>
      <c r="J6" s="148"/>
      <c r="K6" s="148"/>
      <c r="L6" s="148"/>
      <c r="M6" s="148"/>
      <c r="N6" s="148"/>
      <c r="O6" s="148"/>
      <c r="P6" s="148"/>
      <c r="Q6" s="148"/>
      <c r="R6" s="148"/>
      <c r="S6" s="149"/>
      <c r="T6" s="124"/>
      <c r="U6" s="150"/>
      <c r="V6" s="151" t="s">
        <v>128</v>
      </c>
      <c r="W6" s="152"/>
      <c r="X6" s="152"/>
      <c r="Y6" s="152"/>
      <c r="Z6" s="152"/>
      <c r="AA6" s="152"/>
      <c r="AB6" s="152"/>
      <c r="AC6" s="152"/>
      <c r="AD6" s="152"/>
      <c r="AE6" s="152"/>
      <c r="AF6" s="152"/>
      <c r="AG6" s="152"/>
      <c r="AH6" s="152"/>
      <c r="AI6" s="152"/>
      <c r="AJ6" s="152"/>
      <c r="AK6" s="152"/>
      <c r="AL6" s="152"/>
      <c r="AM6" s="152"/>
      <c r="AN6" s="152"/>
      <c r="AO6" s="152"/>
      <c r="AP6" s="152"/>
      <c r="AQ6" s="153"/>
      <c r="AR6" s="761" t="s">
        <v>251</v>
      </c>
      <c r="AS6" s="762"/>
      <c r="AT6" s="762"/>
      <c r="AU6" s="762"/>
      <c r="AV6" s="762"/>
      <c r="AW6" s="762"/>
      <c r="AX6" s="763"/>
      <c r="AY6" s="122"/>
      <c r="AZ6" s="605"/>
      <c r="BA6" s="747"/>
      <c r="BB6" s="747"/>
      <c r="BC6" s="747"/>
      <c r="BD6" s="747"/>
      <c r="BE6" s="747"/>
      <c r="BF6" s="747"/>
      <c r="BG6" s="747"/>
      <c r="BH6" s="747"/>
      <c r="BI6" s="747"/>
      <c r="BJ6" s="747"/>
      <c r="BK6" s="747"/>
      <c r="BL6" s="748"/>
      <c r="BM6" s="122"/>
      <c r="BN6" s="122"/>
      <c r="BO6" s="805"/>
      <c r="BP6" s="806"/>
      <c r="BQ6" s="806"/>
      <c r="BR6" s="806"/>
      <c r="BS6" s="807"/>
      <c r="BT6" s="122"/>
      <c r="BU6" s="777"/>
      <c r="BV6" s="663" t="s">
        <v>108</v>
      </c>
      <c r="BW6" s="300" t="s">
        <v>109</v>
      </c>
      <c r="BX6" s="445" t="s">
        <v>199</v>
      </c>
      <c r="BY6" s="300" t="s">
        <v>10</v>
      </c>
      <c r="BZ6" s="808" t="s">
        <v>212</v>
      </c>
      <c r="CA6" s="809"/>
      <c r="CB6" s="810"/>
      <c r="CC6" s="122"/>
      <c r="CD6" s="786"/>
      <c r="CE6" s="323" t="s">
        <v>108</v>
      </c>
      <c r="CF6" s="300" t="s">
        <v>109</v>
      </c>
      <c r="CG6" s="445" t="s">
        <v>199</v>
      </c>
      <c r="CH6" s="469" t="s">
        <v>10</v>
      </c>
      <c r="CI6" s="811" t="s">
        <v>212</v>
      </c>
      <c r="CJ6" s="812"/>
      <c r="CK6" s="813"/>
      <c r="CL6" s="122"/>
      <c r="CM6" s="786"/>
      <c r="CN6" s="323" t="s">
        <v>108</v>
      </c>
      <c r="CO6" s="300" t="s">
        <v>109</v>
      </c>
      <c r="CP6" s="445" t="s">
        <v>199</v>
      </c>
      <c r="CQ6" s="469" t="s">
        <v>10</v>
      </c>
      <c r="CR6" s="811" t="s">
        <v>212</v>
      </c>
      <c r="CS6" s="812"/>
      <c r="CT6" s="813"/>
      <c r="CU6" s="122"/>
      <c r="CV6" s="122"/>
      <c r="CW6" s="122"/>
      <c r="CX6" s="122"/>
      <c r="CY6" s="122"/>
      <c r="CZ6" s="122"/>
      <c r="DA6" s="122"/>
      <c r="DB6" s="122"/>
      <c r="DC6" s="122"/>
      <c r="DD6" s="122"/>
      <c r="DE6" s="122"/>
      <c r="DF6" s="122"/>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row>
    <row r="7" spans="1:150" s="146" customFormat="1" ht="15" customHeight="1" thickTop="1" thickBot="1">
      <c r="A7" s="155" t="s">
        <v>96</v>
      </c>
      <c r="B7" s="156"/>
      <c r="C7" s="157"/>
      <c r="D7" s="157"/>
      <c r="E7" s="157"/>
      <c r="F7" s="157"/>
      <c r="G7" s="157"/>
      <c r="H7" s="158" t="s">
        <v>153</v>
      </c>
      <c r="I7" s="159"/>
      <c r="J7" s="159"/>
      <c r="K7" s="159"/>
      <c r="L7" s="159"/>
      <c r="M7" s="159"/>
      <c r="N7" s="159"/>
      <c r="O7" s="159"/>
      <c r="P7" s="159"/>
      <c r="Q7" s="159"/>
      <c r="R7" s="159"/>
      <c r="S7" s="160"/>
      <c r="T7" s="124"/>
      <c r="U7" s="161"/>
      <c r="V7" s="162"/>
      <c r="W7" s="162"/>
      <c r="X7" s="162"/>
      <c r="Y7" s="162"/>
      <c r="Z7" s="162"/>
      <c r="AA7" s="162"/>
      <c r="AB7" s="162"/>
      <c r="AC7" s="163" t="s">
        <v>18</v>
      </c>
      <c r="AD7" s="814">
        <v>190</v>
      </c>
      <c r="AE7" s="814"/>
      <c r="AF7" s="162" t="s">
        <v>10</v>
      </c>
      <c r="AG7" s="162"/>
      <c r="AH7" s="164"/>
      <c r="AI7" s="165"/>
      <c r="AJ7" s="165"/>
      <c r="AK7" s="166" t="s">
        <v>241</v>
      </c>
      <c r="AL7" s="166" t="s">
        <v>123</v>
      </c>
      <c r="AM7" s="815">
        <v>90</v>
      </c>
      <c r="AN7" s="815"/>
      <c r="AO7" s="166" t="s">
        <v>124</v>
      </c>
      <c r="AP7" s="815">
        <v>35</v>
      </c>
      <c r="AQ7" s="816"/>
      <c r="AR7" s="761"/>
      <c r="AS7" s="762"/>
      <c r="AT7" s="762"/>
      <c r="AU7" s="762"/>
      <c r="AV7" s="762"/>
      <c r="AW7" s="762"/>
      <c r="AX7" s="763"/>
      <c r="AY7" s="122"/>
      <c r="AZ7" s="605"/>
      <c r="BA7" s="747"/>
      <c r="BB7" s="747"/>
      <c r="BC7" s="747"/>
      <c r="BD7" s="747"/>
      <c r="BE7" s="747"/>
      <c r="BF7" s="747"/>
      <c r="BG7" s="747"/>
      <c r="BH7" s="747"/>
      <c r="BI7" s="747"/>
      <c r="BJ7" s="747"/>
      <c r="BK7" s="747"/>
      <c r="BL7" s="748"/>
      <c r="BM7" s="122"/>
      <c r="BN7" s="122"/>
      <c r="BO7" s="439" t="s">
        <v>208</v>
      </c>
      <c r="BP7" s="185"/>
      <c r="BQ7" s="185"/>
      <c r="BR7" s="185"/>
      <c r="BS7" s="476"/>
      <c r="BT7" s="122"/>
      <c r="BU7" s="662" t="str">
        <f t="shared" ref="BU7:BU13" si="0">IF(BU$14=BO7,"X","")</f>
        <v/>
      </c>
      <c r="BV7" s="664">
        <f>BV8</f>
        <v>0</v>
      </c>
      <c r="BW7" s="186">
        <f>BV7</f>
        <v>0</v>
      </c>
      <c r="BX7" s="625" t="e">
        <f>BW7/BV7*100</f>
        <v>#DIV/0!</v>
      </c>
      <c r="BY7" s="535"/>
      <c r="BZ7" s="454">
        <f>BY7*14.331/(BZ5-CB2)</f>
        <v>0</v>
      </c>
      <c r="CA7" s="455">
        <f>BY7*14.331/(CA5-CB2)</f>
        <v>0</v>
      </c>
      <c r="CB7" s="456">
        <f>BY7*14.331/(CB5-CB2)</f>
        <v>0</v>
      </c>
      <c r="CC7" s="122"/>
      <c r="CD7" s="441" t="str">
        <f>IF(CD$14=BO7,"X","")</f>
        <v/>
      </c>
      <c r="CE7" s="216">
        <f>'A1'!AL24</f>
        <v>0</v>
      </c>
      <c r="CF7" s="440">
        <f>CE7</f>
        <v>0</v>
      </c>
      <c r="CG7" s="625">
        <f>'A1'!Z30</f>
        <v>0</v>
      </c>
      <c r="CH7" s="449">
        <f>'A1'!AB30</f>
        <v>0</v>
      </c>
      <c r="CI7" s="454">
        <f>IF(CG7=0,0,CH7*14.331/(CI5-CK2))</f>
        <v>0</v>
      </c>
      <c r="CJ7" s="455">
        <f>IF(CG7=0,0,CH7*14.331/(CJ5-CK2))</f>
        <v>0</v>
      </c>
      <c r="CK7" s="456">
        <f>IF(CG7=0,0,CH7*14.331/(CK5-CK2))</f>
        <v>0</v>
      </c>
      <c r="CL7" s="122"/>
      <c r="CM7" s="441" t="str">
        <f>IF(CM$14=BO7,"X","")</f>
        <v/>
      </c>
      <c r="CN7" s="216">
        <f>'A2'!AL24</f>
        <v>0</v>
      </c>
      <c r="CO7" s="440">
        <f>'A2'!W30</f>
        <v>0</v>
      </c>
      <c r="CP7" s="625">
        <f>'A2'!Z30</f>
        <v>0</v>
      </c>
      <c r="CQ7" s="449">
        <f>'A2'!AB30</f>
        <v>0</v>
      </c>
      <c r="CR7" s="454">
        <f>CQ7*14.331/(CR5-CT2)</f>
        <v>0</v>
      </c>
      <c r="CS7" s="455">
        <f>CQ7*14.331/(CS5-CT2)</f>
        <v>0</v>
      </c>
      <c r="CT7" s="456">
        <f>CQ7*14.331/(CT5-CT2)</f>
        <v>0</v>
      </c>
      <c r="CU7" s="122"/>
      <c r="CV7" s="122"/>
      <c r="CW7" s="122"/>
      <c r="CX7" s="122"/>
      <c r="CY7" s="122"/>
      <c r="CZ7" s="122"/>
      <c r="DA7" s="122"/>
      <c r="DB7" s="122"/>
      <c r="DC7" s="122"/>
      <c r="DD7" s="122"/>
      <c r="DE7" s="122"/>
      <c r="DF7" s="122"/>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row>
    <row r="8" spans="1:150" s="146" customFormat="1" ht="15.6" thickBot="1">
      <c r="A8" s="817" t="s">
        <v>91</v>
      </c>
      <c r="B8" s="818"/>
      <c r="C8" s="818"/>
      <c r="D8" s="818"/>
      <c r="E8" s="819"/>
      <c r="F8" s="823" t="s">
        <v>7</v>
      </c>
      <c r="G8" s="818"/>
      <c r="H8" s="818"/>
      <c r="I8" s="819"/>
      <c r="J8" s="823" t="s">
        <v>90</v>
      </c>
      <c r="K8" s="818"/>
      <c r="L8" s="818"/>
      <c r="M8" s="818"/>
      <c r="N8" s="818"/>
      <c r="O8" s="818"/>
      <c r="P8" s="818"/>
      <c r="Q8" s="818"/>
      <c r="R8" s="818"/>
      <c r="S8" s="824"/>
      <c r="T8" s="124"/>
      <c r="U8" s="167"/>
      <c r="V8" s="168"/>
      <c r="W8" s="168"/>
      <c r="X8" s="168"/>
      <c r="Y8" s="168"/>
      <c r="Z8" s="168"/>
      <c r="AA8" s="168"/>
      <c r="AB8" s="168"/>
      <c r="AC8" s="169" t="s">
        <v>129</v>
      </c>
      <c r="AD8" s="825">
        <f>IF(AM7*AD7=0,"",AD7/1.163/(AM7-AP7))</f>
        <v>2.9703744235128582</v>
      </c>
      <c r="AE8" s="825"/>
      <c r="AF8" s="168" t="s">
        <v>11</v>
      </c>
      <c r="AG8" s="168"/>
      <c r="AH8" s="170"/>
      <c r="AI8" s="171"/>
      <c r="AJ8" s="171"/>
      <c r="AK8" s="172" t="s">
        <v>125</v>
      </c>
      <c r="AL8" s="172" t="s">
        <v>123</v>
      </c>
      <c r="AM8" s="826">
        <v>80</v>
      </c>
      <c r="AN8" s="826"/>
      <c r="AO8" s="171"/>
      <c r="AP8" s="827">
        <f>MIN(AM7,AM8)</f>
        <v>80</v>
      </c>
      <c r="AQ8" s="828"/>
      <c r="AR8" s="761"/>
      <c r="AS8" s="762"/>
      <c r="AT8" s="762"/>
      <c r="AU8" s="762"/>
      <c r="AV8" s="762"/>
      <c r="AW8" s="762"/>
      <c r="AX8" s="763"/>
      <c r="AY8" s="122"/>
      <c r="AZ8" s="605"/>
      <c r="BA8" s="747"/>
      <c r="BB8" s="747"/>
      <c r="BC8" s="747"/>
      <c r="BD8" s="747"/>
      <c r="BE8" s="747"/>
      <c r="BF8" s="747"/>
      <c r="BG8" s="747"/>
      <c r="BH8" s="747"/>
      <c r="BI8" s="747"/>
      <c r="BJ8" s="747"/>
      <c r="BK8" s="747"/>
      <c r="BL8" s="748"/>
      <c r="BM8" s="122"/>
      <c r="BN8" s="122"/>
      <c r="BO8" s="135" t="s">
        <v>65</v>
      </c>
      <c r="BP8" s="136"/>
      <c r="BQ8" s="136"/>
      <c r="BR8" s="136"/>
      <c r="BS8" s="477"/>
      <c r="BT8" s="122"/>
      <c r="BU8" s="661" t="str">
        <f t="shared" si="0"/>
        <v/>
      </c>
      <c r="BV8" s="736">
        <f>SLS!T31</f>
        <v>0</v>
      </c>
      <c r="BW8" s="464">
        <f>SLS!W31</f>
        <v>-0.94</v>
      </c>
      <c r="BX8" s="446" t="e">
        <f>BW8/$BV$8*100</f>
        <v>#DIV/0!</v>
      </c>
      <c r="BY8" s="465">
        <f>ROUNDUP(SLS!AB31,0)</f>
        <v>40</v>
      </c>
      <c r="BZ8" s="466">
        <f>BY8*14.331/($BZ$5-$CB$2)</f>
        <v>11.4648</v>
      </c>
      <c r="CA8" s="467">
        <f>BY8*14.331/($CA$5-$CB$2)</f>
        <v>17.91375</v>
      </c>
      <c r="CB8" s="468">
        <f>BY8*14.331/($CB$5-$CB$2)</f>
        <v>20.472857142857144</v>
      </c>
      <c r="CC8" s="122"/>
      <c r="CD8" s="441" t="str">
        <f t="shared" ref="CD8:CD13" si="1">IF(CD$14=BO8,"X","")</f>
        <v/>
      </c>
      <c r="CE8" s="738">
        <f>'A1'!P24</f>
        <v>0</v>
      </c>
      <c r="CF8" s="464">
        <f>'A1'!W31</f>
        <v>-0.94</v>
      </c>
      <c r="CG8" s="446">
        <f>'A1'!Z31</f>
        <v>0</v>
      </c>
      <c r="CH8" s="465">
        <f>ROUNDUP('A1'!AB31,0)</f>
        <v>40</v>
      </c>
      <c r="CI8" s="466">
        <f t="shared" ref="CI8:CI13" si="2">CH8*14.331/($CI$5-$CK$2)</f>
        <v>11.4648</v>
      </c>
      <c r="CJ8" s="467">
        <f t="shared" ref="CJ8:CJ13" si="3">CH8*14.331/($CJ$5-$CK$2)</f>
        <v>17.91375</v>
      </c>
      <c r="CK8" s="468">
        <f t="shared" ref="CK8:CK13" si="4">CH8*14.331/($CK$5-$CK$2)</f>
        <v>20.472857142857144</v>
      </c>
      <c r="CL8" s="122"/>
      <c r="CM8" s="441" t="str">
        <f t="shared" ref="CM8:CM13" si="5">IF(CM$14=BO8,"X","")</f>
        <v/>
      </c>
      <c r="CN8" s="738">
        <f>'A2'!P24</f>
        <v>0</v>
      </c>
      <c r="CO8" s="464">
        <f>'A2'!W31</f>
        <v>-0.94</v>
      </c>
      <c r="CP8" s="446">
        <f>'A2'!Z31</f>
        <v>0</v>
      </c>
      <c r="CQ8" s="465">
        <f>ROUNDUP('A2'!AB31,0)</f>
        <v>40</v>
      </c>
      <c r="CR8" s="466">
        <f t="shared" ref="CR8:CR13" si="6">CQ8*14.331/($CI$5-$CK$2)</f>
        <v>11.4648</v>
      </c>
      <c r="CS8" s="467">
        <f t="shared" ref="CS8:CS13" si="7">CQ8*14.331/($CJ$5-$CK$2)</f>
        <v>17.91375</v>
      </c>
      <c r="CT8" s="468">
        <f t="shared" ref="CT8:CT13" si="8">CQ8*14.331/($CK$5-$CK$2)</f>
        <v>20.472857142857144</v>
      </c>
      <c r="CU8" s="122"/>
      <c r="CV8" s="122"/>
      <c r="CW8" s="122"/>
      <c r="CX8" s="122"/>
      <c r="CY8" s="122"/>
      <c r="CZ8" s="122"/>
      <c r="DA8" s="122"/>
      <c r="DB8" s="122"/>
      <c r="DC8" s="122"/>
      <c r="DD8" s="122"/>
      <c r="DE8" s="122"/>
      <c r="DF8" s="122"/>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row>
    <row r="9" spans="1:150" s="146" customFormat="1" ht="15.6" thickBot="1">
      <c r="A9" s="820"/>
      <c r="B9" s="821"/>
      <c r="C9" s="821"/>
      <c r="D9" s="821"/>
      <c r="E9" s="822"/>
      <c r="F9" s="829" t="s">
        <v>19</v>
      </c>
      <c r="G9" s="830"/>
      <c r="H9" s="831" t="s">
        <v>92</v>
      </c>
      <c r="I9" s="832"/>
      <c r="J9" s="829" t="s">
        <v>150</v>
      </c>
      <c r="K9" s="833"/>
      <c r="L9" s="831" t="s">
        <v>92</v>
      </c>
      <c r="M9" s="833"/>
      <c r="N9" s="831" t="s">
        <v>83</v>
      </c>
      <c r="O9" s="830"/>
      <c r="P9" s="829" t="s">
        <v>95</v>
      </c>
      <c r="Q9" s="830"/>
      <c r="R9" s="830"/>
      <c r="S9" s="834"/>
      <c r="T9" s="124"/>
      <c r="U9" s="174"/>
      <c r="V9" s="175" t="s">
        <v>130</v>
      </c>
      <c r="W9" s="176"/>
      <c r="X9" s="176"/>
      <c r="Y9" s="176"/>
      <c r="Z9" s="176"/>
      <c r="AA9" s="176"/>
      <c r="AB9" s="176"/>
      <c r="AC9" s="176"/>
      <c r="AD9" s="176"/>
      <c r="AE9" s="176"/>
      <c r="AF9" s="176"/>
      <c r="AG9" s="176"/>
      <c r="AH9" s="176"/>
      <c r="AI9" s="176"/>
      <c r="AJ9" s="176"/>
      <c r="AK9" s="176"/>
      <c r="AL9" s="177" t="s">
        <v>127</v>
      </c>
      <c r="AM9" s="835">
        <v>70</v>
      </c>
      <c r="AN9" s="835"/>
      <c r="AO9" s="178" t="s">
        <v>124</v>
      </c>
      <c r="AP9" s="835">
        <v>30</v>
      </c>
      <c r="AQ9" s="836"/>
      <c r="AR9" s="761"/>
      <c r="AS9" s="762"/>
      <c r="AT9" s="762"/>
      <c r="AU9" s="762"/>
      <c r="AV9" s="762"/>
      <c r="AW9" s="762"/>
      <c r="AX9" s="763"/>
      <c r="AY9" s="122"/>
      <c r="AZ9" s="605"/>
      <c r="BA9" s="747"/>
      <c r="BB9" s="747"/>
      <c r="BC9" s="747"/>
      <c r="BD9" s="747"/>
      <c r="BE9" s="747"/>
      <c r="BF9" s="747"/>
      <c r="BG9" s="747"/>
      <c r="BH9" s="747"/>
      <c r="BI9" s="747"/>
      <c r="BJ9" s="747"/>
      <c r="BK9" s="747"/>
      <c r="BL9" s="748"/>
      <c r="BM9" s="122"/>
      <c r="BN9" s="122"/>
      <c r="BO9" s="141" t="s">
        <v>64</v>
      </c>
      <c r="BP9" s="142"/>
      <c r="BQ9" s="142"/>
      <c r="BR9" s="142"/>
      <c r="BS9" s="478"/>
      <c r="BT9" s="122"/>
      <c r="BU9" s="144" t="str">
        <f t="shared" si="0"/>
        <v/>
      </c>
      <c r="BV9" s="736"/>
      <c r="BW9" s="143">
        <f>SLS!W32</f>
        <v>-0.18</v>
      </c>
      <c r="BX9" s="446" t="e">
        <f>BW9/$BV$8*100</f>
        <v>#DIV/0!</v>
      </c>
      <c r="BY9" s="447">
        <f>ROUNDUP(SLS!AB32,0)</f>
        <v>8</v>
      </c>
      <c r="BZ9" s="466">
        <f t="shared" ref="BZ9:BZ13" si="9">BY9*14.331/($BZ$5-$CB$2)</f>
        <v>2.2929599999999999</v>
      </c>
      <c r="CA9" s="467">
        <f t="shared" ref="CA9:CA13" si="10">BY9*14.331/($CA$5-$CB$2)</f>
        <v>3.5827499999999999</v>
      </c>
      <c r="CB9" s="468">
        <f t="shared" ref="CB9:CB13" si="11">BY9*14.331/($CB$5-$CB$2)</f>
        <v>4.0945714285714283</v>
      </c>
      <c r="CC9" s="122"/>
      <c r="CD9" s="144" t="str">
        <f t="shared" si="1"/>
        <v/>
      </c>
      <c r="CE9" s="738"/>
      <c r="CF9" s="143">
        <f>'A1'!W32</f>
        <v>-0.18</v>
      </c>
      <c r="CG9" s="446">
        <f>'A1'!Z32</f>
        <v>0</v>
      </c>
      <c r="CH9" s="447">
        <f>ROUNDUP('A1'!AB32,0)</f>
        <v>8</v>
      </c>
      <c r="CI9" s="461">
        <f t="shared" si="2"/>
        <v>2.2929599999999999</v>
      </c>
      <c r="CJ9" s="462">
        <f t="shared" si="3"/>
        <v>3.5827499999999999</v>
      </c>
      <c r="CK9" s="463">
        <f t="shared" si="4"/>
        <v>4.0945714285714283</v>
      </c>
      <c r="CL9" s="122"/>
      <c r="CM9" s="144" t="str">
        <f t="shared" si="5"/>
        <v/>
      </c>
      <c r="CN9" s="738"/>
      <c r="CO9" s="143">
        <f>'A2'!W32</f>
        <v>-0.18</v>
      </c>
      <c r="CP9" s="446">
        <f>'A2'!Z32</f>
        <v>0</v>
      </c>
      <c r="CQ9" s="447">
        <f>ROUNDUP('A2'!AB32,0)</f>
        <v>8</v>
      </c>
      <c r="CR9" s="461">
        <f t="shared" si="6"/>
        <v>2.2929599999999999</v>
      </c>
      <c r="CS9" s="462">
        <f t="shared" si="7"/>
        <v>3.5827499999999999</v>
      </c>
      <c r="CT9" s="463">
        <f t="shared" si="8"/>
        <v>4.0945714285714283</v>
      </c>
      <c r="CU9" s="122"/>
      <c r="CV9" s="122"/>
      <c r="CW9" s="122"/>
      <c r="CX9" s="122"/>
      <c r="CY9" s="122"/>
      <c r="CZ9" s="122"/>
      <c r="DA9" s="122"/>
      <c r="DB9" s="122"/>
      <c r="DC9" s="122"/>
      <c r="DD9" s="122"/>
      <c r="DE9" s="122"/>
      <c r="DF9" s="122"/>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row>
    <row r="10" spans="1:150" s="146" customFormat="1" ht="13.5" customHeight="1" thickTop="1">
      <c r="A10" s="586">
        <f>F11+F12+F13</f>
        <v>76</v>
      </c>
      <c r="B10" s="587">
        <f>MAX(L11:M13)</f>
        <v>4</v>
      </c>
      <c r="C10" s="588">
        <f>MAX(N11,N12,N13)</f>
        <v>38</v>
      </c>
      <c r="D10" s="740" t="s">
        <v>15</v>
      </c>
      <c r="E10" s="741"/>
      <c r="F10" s="837" t="s">
        <v>15</v>
      </c>
      <c r="G10" s="837"/>
      <c r="H10" s="742" t="s">
        <v>93</v>
      </c>
      <c r="I10" s="741"/>
      <c r="J10" s="847" t="s">
        <v>239</v>
      </c>
      <c r="K10" s="848"/>
      <c r="L10" s="742" t="s">
        <v>93</v>
      </c>
      <c r="M10" s="848"/>
      <c r="N10" s="742" t="s">
        <v>14</v>
      </c>
      <c r="O10" s="837"/>
      <c r="P10" s="743" t="s">
        <v>236</v>
      </c>
      <c r="Q10" s="744"/>
      <c r="R10" s="744"/>
      <c r="S10" s="745"/>
      <c r="T10" s="180" t="s">
        <v>50</v>
      </c>
      <c r="U10" s="181"/>
      <c r="V10" s="182"/>
      <c r="W10" s="182"/>
      <c r="X10" s="182"/>
      <c r="Y10" s="182"/>
      <c r="Z10" s="182"/>
      <c r="AA10" s="182"/>
      <c r="AB10" s="182"/>
      <c r="AC10" s="183" t="s">
        <v>131</v>
      </c>
      <c r="AD10" s="746">
        <v>2.5</v>
      </c>
      <c r="AE10" s="746"/>
      <c r="AF10" s="182" t="s">
        <v>132</v>
      </c>
      <c r="AG10" s="182"/>
      <c r="AH10" s="182"/>
      <c r="AI10" s="182"/>
      <c r="AJ10" s="162"/>
      <c r="AK10" s="162"/>
      <c r="AL10" s="162"/>
      <c r="AM10" s="162"/>
      <c r="AN10" s="162"/>
      <c r="AO10" s="162"/>
      <c r="AP10" s="162"/>
      <c r="AQ10" s="184"/>
      <c r="AR10" s="124"/>
      <c r="AS10" s="124"/>
      <c r="AT10" s="124"/>
      <c r="AU10" s="124"/>
      <c r="AV10" s="124"/>
      <c r="AW10" s="124"/>
      <c r="AX10" s="528"/>
      <c r="AY10" s="122"/>
      <c r="AZ10" s="605"/>
      <c r="BA10" s="747" t="s">
        <v>228</v>
      </c>
      <c r="BB10" s="747"/>
      <c r="BC10" s="747"/>
      <c r="BD10" s="747"/>
      <c r="BE10" s="747"/>
      <c r="BF10" s="747"/>
      <c r="BG10" s="747"/>
      <c r="BH10" s="747"/>
      <c r="BI10" s="747"/>
      <c r="BJ10" s="747"/>
      <c r="BK10" s="747"/>
      <c r="BL10" s="748"/>
      <c r="BM10" s="122"/>
      <c r="BN10" s="122"/>
      <c r="BO10" s="154" t="s">
        <v>117</v>
      </c>
      <c r="BP10" s="142"/>
      <c r="BQ10" s="142"/>
      <c r="BR10" s="142"/>
      <c r="BS10" s="478"/>
      <c r="BT10" s="122"/>
      <c r="BU10" s="442" t="str">
        <f t="shared" si="0"/>
        <v>X</v>
      </c>
      <c r="BV10" s="736"/>
      <c r="BW10" s="143">
        <f>SLS!W33</f>
        <v>-0.13</v>
      </c>
      <c r="BX10" s="446" t="e">
        <f t="shared" ref="BX10:BX13" si="12">BW10/$BV$8*100</f>
        <v>#DIV/0!</v>
      </c>
      <c r="BY10" s="447">
        <f>ROUNDUP(SLS!AB33,0)</f>
        <v>6</v>
      </c>
      <c r="BZ10" s="466">
        <f t="shared" si="9"/>
        <v>1.7197199999999997</v>
      </c>
      <c r="CA10" s="467">
        <f t="shared" si="10"/>
        <v>2.6870624999999997</v>
      </c>
      <c r="CB10" s="468">
        <f t="shared" si="11"/>
        <v>3.070928571428571</v>
      </c>
      <c r="CC10" s="122"/>
      <c r="CD10" s="442" t="str">
        <f t="shared" si="1"/>
        <v>X</v>
      </c>
      <c r="CE10" s="738"/>
      <c r="CF10" s="143">
        <f>'A1'!W33</f>
        <v>-0.13</v>
      </c>
      <c r="CG10" s="446">
        <f>'A1'!Z33</f>
        <v>0</v>
      </c>
      <c r="CH10" s="447">
        <f>ROUNDUP('A1'!AB33,0)</f>
        <v>6</v>
      </c>
      <c r="CI10" s="461">
        <f t="shared" si="2"/>
        <v>1.7197199999999997</v>
      </c>
      <c r="CJ10" s="462">
        <f t="shared" si="3"/>
        <v>2.6870624999999997</v>
      </c>
      <c r="CK10" s="463">
        <f t="shared" si="4"/>
        <v>3.070928571428571</v>
      </c>
      <c r="CL10" s="122"/>
      <c r="CM10" s="442" t="str">
        <f t="shared" si="5"/>
        <v>X</v>
      </c>
      <c r="CN10" s="738"/>
      <c r="CO10" s="143">
        <f>'A2'!W33</f>
        <v>-0.13</v>
      </c>
      <c r="CP10" s="446">
        <f>'A2'!Z33</f>
        <v>0</v>
      </c>
      <c r="CQ10" s="447">
        <f>ROUNDUP('A2'!AB33,0)</f>
        <v>6</v>
      </c>
      <c r="CR10" s="461">
        <f t="shared" si="6"/>
        <v>1.7197199999999997</v>
      </c>
      <c r="CS10" s="462">
        <f t="shared" si="7"/>
        <v>2.6870624999999997</v>
      </c>
      <c r="CT10" s="463">
        <f t="shared" si="8"/>
        <v>3.070928571428571</v>
      </c>
      <c r="CU10" s="122"/>
      <c r="CV10" s="122"/>
      <c r="CW10" s="122"/>
      <c r="CX10" s="122"/>
      <c r="CY10" s="122"/>
      <c r="CZ10" s="122"/>
      <c r="DA10" s="122"/>
      <c r="DB10" s="122"/>
      <c r="DC10" s="122"/>
      <c r="DD10" s="122"/>
      <c r="DE10" s="122"/>
      <c r="DF10" s="122"/>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row>
    <row r="11" spans="1:150" s="146" customFormat="1" ht="13.5" customHeight="1" thickBot="1">
      <c r="A11" s="838" t="s">
        <v>13</v>
      </c>
      <c r="B11" s="839"/>
      <c r="C11" s="840"/>
      <c r="D11" s="841">
        <v>76</v>
      </c>
      <c r="E11" s="842"/>
      <c r="F11" s="843">
        <f>K45</f>
        <v>76</v>
      </c>
      <c r="G11" s="844"/>
      <c r="H11" s="845">
        <v>7</v>
      </c>
      <c r="I11" s="846"/>
      <c r="J11" s="755">
        <v>10</v>
      </c>
      <c r="K11" s="756"/>
      <c r="L11" s="757">
        <v>4</v>
      </c>
      <c r="M11" s="757"/>
      <c r="N11" s="749">
        <v>38</v>
      </c>
      <c r="O11" s="750"/>
      <c r="P11" s="187"/>
      <c r="Q11" s="751">
        <f>F11*J11*L11</f>
        <v>3040</v>
      </c>
      <c r="R11" s="751"/>
      <c r="S11" s="188"/>
      <c r="T11" s="124"/>
      <c r="U11" s="189"/>
      <c r="V11" s="190"/>
      <c r="W11" s="190"/>
      <c r="X11" s="190"/>
      <c r="Y11" s="190"/>
      <c r="Z11" s="190"/>
      <c r="AA11" s="190"/>
      <c r="AB11" s="190"/>
      <c r="AC11" s="191" t="s">
        <v>126</v>
      </c>
      <c r="AD11" s="752">
        <f>IF(AD10*AM8=0,"",ROUNDDOWN(AD10*1.163*(AM8-AP9),0))</f>
        <v>145</v>
      </c>
      <c r="AE11" s="752"/>
      <c r="AF11" s="192" t="s">
        <v>10</v>
      </c>
      <c r="AG11" s="190"/>
      <c r="AH11" s="190" t="str">
        <f>"bezogen auf "&amp;AP8&amp;"°C Tv u. "&amp;AP9&amp;"°C Tr"</f>
        <v>bezogen auf 80°C Tv u. 30°C Tr</v>
      </c>
      <c r="AI11" s="190"/>
      <c r="AJ11" s="168"/>
      <c r="AK11" s="168"/>
      <c r="AL11" s="168"/>
      <c r="AM11" s="168"/>
      <c r="AN11" s="168"/>
      <c r="AO11" s="168"/>
      <c r="AP11" s="168"/>
      <c r="AQ11" s="193"/>
      <c r="AR11" s="124"/>
      <c r="AS11" s="124"/>
      <c r="AT11" s="124"/>
      <c r="AU11" s="124"/>
      <c r="AV11" s="124"/>
      <c r="AW11" s="124"/>
      <c r="AX11" s="528"/>
      <c r="AY11" s="122"/>
      <c r="AZ11" s="605"/>
      <c r="BA11" s="747"/>
      <c r="BB11" s="747"/>
      <c r="BC11" s="747"/>
      <c r="BD11" s="747"/>
      <c r="BE11" s="747"/>
      <c r="BF11" s="747"/>
      <c r="BG11" s="747"/>
      <c r="BH11" s="747"/>
      <c r="BI11" s="747"/>
      <c r="BJ11" s="747"/>
      <c r="BK11" s="747"/>
      <c r="BL11" s="748"/>
      <c r="BM11" s="122"/>
      <c r="BN11" s="122"/>
      <c r="BO11" s="154" t="s">
        <v>118</v>
      </c>
      <c r="BP11" s="142"/>
      <c r="BQ11" s="142"/>
      <c r="BR11" s="142"/>
      <c r="BS11" s="478"/>
      <c r="BT11" s="122"/>
      <c r="BU11" s="144" t="str">
        <f t="shared" si="0"/>
        <v/>
      </c>
      <c r="BV11" s="736"/>
      <c r="BW11" s="143">
        <f>SLS!W34</f>
        <v>-0.38</v>
      </c>
      <c r="BX11" s="446" t="e">
        <f t="shared" si="12"/>
        <v>#DIV/0!</v>
      </c>
      <c r="BY11" s="447">
        <f>ROUNDUP(SLS!AB34,0)</f>
        <v>16</v>
      </c>
      <c r="BZ11" s="466">
        <f t="shared" si="9"/>
        <v>4.5859199999999998</v>
      </c>
      <c r="CA11" s="467">
        <f t="shared" si="10"/>
        <v>7.1654999999999998</v>
      </c>
      <c r="CB11" s="468">
        <f t="shared" si="11"/>
        <v>8.1891428571428566</v>
      </c>
      <c r="CC11" s="122"/>
      <c r="CD11" s="144" t="str">
        <f t="shared" si="1"/>
        <v/>
      </c>
      <c r="CE11" s="738"/>
      <c r="CF11" s="143">
        <f>'A1'!W34</f>
        <v>-0.38</v>
      </c>
      <c r="CG11" s="446">
        <f>'A1'!Z34</f>
        <v>0</v>
      </c>
      <c r="CH11" s="447">
        <f>ROUNDUP('A1'!AB34,0)</f>
        <v>16</v>
      </c>
      <c r="CI11" s="461">
        <f t="shared" si="2"/>
        <v>4.5859199999999998</v>
      </c>
      <c r="CJ11" s="462">
        <f t="shared" si="3"/>
        <v>7.1654999999999998</v>
      </c>
      <c r="CK11" s="463">
        <f t="shared" si="4"/>
        <v>8.1891428571428566</v>
      </c>
      <c r="CL11" s="122"/>
      <c r="CM11" s="144" t="str">
        <f t="shared" si="5"/>
        <v/>
      </c>
      <c r="CN11" s="738"/>
      <c r="CO11" s="143">
        <f>'A2'!W34</f>
        <v>-0.38</v>
      </c>
      <c r="CP11" s="446">
        <f>'A2'!Z34</f>
        <v>0</v>
      </c>
      <c r="CQ11" s="447">
        <f>ROUNDUP('A2'!AB34,0)</f>
        <v>16</v>
      </c>
      <c r="CR11" s="461">
        <f t="shared" si="6"/>
        <v>4.5859199999999998</v>
      </c>
      <c r="CS11" s="462">
        <f t="shared" si="7"/>
        <v>7.1654999999999998</v>
      </c>
      <c r="CT11" s="463">
        <f t="shared" si="8"/>
        <v>8.1891428571428566</v>
      </c>
      <c r="CU11" s="122"/>
      <c r="CV11" s="122"/>
      <c r="CW11" s="122"/>
      <c r="CX11" s="122"/>
      <c r="CY11" s="122"/>
      <c r="CZ11" s="122"/>
      <c r="DA11" s="122"/>
      <c r="DB11" s="122"/>
      <c r="DC11" s="122"/>
      <c r="DD11" s="122"/>
      <c r="DE11" s="122"/>
      <c r="DF11" s="122"/>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row>
    <row r="12" spans="1:150" s="146" customFormat="1" ht="13.5" customHeight="1">
      <c r="A12" s="866" t="s">
        <v>12</v>
      </c>
      <c r="B12" s="867"/>
      <c r="C12" s="868"/>
      <c r="D12" s="869">
        <v>76</v>
      </c>
      <c r="E12" s="870"/>
      <c r="F12" s="871">
        <f>IF(D12="",0,IF(D12&lt;1,0,IF(D12="","",G6-F11)))</f>
        <v>0</v>
      </c>
      <c r="G12" s="872"/>
      <c r="H12" s="873">
        <v>10</v>
      </c>
      <c r="I12" s="874"/>
      <c r="J12" s="875">
        <v>4.5</v>
      </c>
      <c r="K12" s="876"/>
      <c r="L12" s="877">
        <v>3</v>
      </c>
      <c r="M12" s="878"/>
      <c r="N12" s="753">
        <v>30</v>
      </c>
      <c r="O12" s="754"/>
      <c r="P12" s="195"/>
      <c r="Q12" s="849">
        <f>F12*J12*L12</f>
        <v>0</v>
      </c>
      <c r="R12" s="849"/>
      <c r="S12" s="196"/>
      <c r="T12" s="124"/>
      <c r="X12" s="197" t="str">
        <f>IF(AD10&gt;AD8,"Durch die Begrenzung am M+D-Regler nicht möglich!","")</f>
        <v/>
      </c>
      <c r="AR12" s="124"/>
      <c r="AS12" s="124"/>
      <c r="AT12" s="124"/>
      <c r="AU12" s="124"/>
      <c r="AV12" s="124"/>
      <c r="AW12" s="124"/>
      <c r="AX12" s="528"/>
      <c r="AY12" s="122"/>
      <c r="AZ12" s="605"/>
      <c r="BA12" s="747"/>
      <c r="BB12" s="747"/>
      <c r="BC12" s="747"/>
      <c r="BD12" s="747"/>
      <c r="BE12" s="747"/>
      <c r="BF12" s="747"/>
      <c r="BG12" s="747"/>
      <c r="BH12" s="747"/>
      <c r="BI12" s="747"/>
      <c r="BJ12" s="747"/>
      <c r="BK12" s="747"/>
      <c r="BL12" s="748"/>
      <c r="BM12" s="122"/>
      <c r="BN12" s="122"/>
      <c r="BO12" s="173" t="s">
        <v>63</v>
      </c>
      <c r="BP12" s="142"/>
      <c r="BQ12" s="142"/>
      <c r="BR12" s="142"/>
      <c r="BS12" s="478"/>
      <c r="BT12" s="122"/>
      <c r="BU12" s="144" t="str">
        <f t="shared" si="0"/>
        <v/>
      </c>
      <c r="BV12" s="736"/>
      <c r="BW12" s="143">
        <f>SLS!W35</f>
        <v>-0.38</v>
      </c>
      <c r="BX12" s="446" t="e">
        <f t="shared" si="12"/>
        <v>#DIV/0!</v>
      </c>
      <c r="BY12" s="447">
        <f>ROUNDUP(SLS!AB35,0)</f>
        <v>16</v>
      </c>
      <c r="BZ12" s="466">
        <f t="shared" si="9"/>
        <v>4.5859199999999998</v>
      </c>
      <c r="CA12" s="467">
        <f t="shared" si="10"/>
        <v>7.1654999999999998</v>
      </c>
      <c r="CB12" s="468">
        <f t="shared" si="11"/>
        <v>8.1891428571428566</v>
      </c>
      <c r="CC12" s="122"/>
      <c r="CD12" s="144" t="str">
        <f t="shared" si="1"/>
        <v/>
      </c>
      <c r="CE12" s="738"/>
      <c r="CF12" s="143">
        <f>'A1'!W35</f>
        <v>-0.38</v>
      </c>
      <c r="CG12" s="446">
        <f>'A1'!Z35</f>
        <v>0</v>
      </c>
      <c r="CH12" s="447">
        <f>ROUNDUP('A1'!AB35,0)</f>
        <v>16</v>
      </c>
      <c r="CI12" s="461">
        <f t="shared" si="2"/>
        <v>4.5859199999999998</v>
      </c>
      <c r="CJ12" s="462">
        <f t="shared" si="3"/>
        <v>7.1654999999999998</v>
      </c>
      <c r="CK12" s="463">
        <f t="shared" si="4"/>
        <v>8.1891428571428566</v>
      </c>
      <c r="CL12" s="122"/>
      <c r="CM12" s="144" t="str">
        <f t="shared" si="5"/>
        <v/>
      </c>
      <c r="CN12" s="738"/>
      <c r="CO12" s="143">
        <f>'A2'!W35</f>
        <v>-0.38</v>
      </c>
      <c r="CP12" s="446">
        <f>'A2'!Z35</f>
        <v>0</v>
      </c>
      <c r="CQ12" s="447">
        <f>ROUNDUP('A2'!AB35,0)</f>
        <v>16</v>
      </c>
      <c r="CR12" s="461">
        <f t="shared" si="6"/>
        <v>4.5859199999999998</v>
      </c>
      <c r="CS12" s="462">
        <f t="shared" si="7"/>
        <v>7.1654999999999998</v>
      </c>
      <c r="CT12" s="463">
        <f t="shared" si="8"/>
        <v>8.1891428571428566</v>
      </c>
      <c r="CU12" s="122"/>
      <c r="CV12" s="122"/>
      <c r="CW12" s="122"/>
      <c r="CX12" s="122"/>
      <c r="CY12" s="122"/>
      <c r="CZ12" s="122"/>
      <c r="DA12" s="122"/>
      <c r="DB12" s="122"/>
      <c r="DC12" s="122"/>
      <c r="DD12" s="122"/>
      <c r="DE12" s="122"/>
      <c r="DF12" s="122"/>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row>
    <row r="13" spans="1:150" s="146" customFormat="1" ht="13.5" customHeight="1" thickBot="1">
      <c r="A13" s="850"/>
      <c r="B13" s="851"/>
      <c r="C13" s="852"/>
      <c r="D13" s="853"/>
      <c r="E13" s="854"/>
      <c r="F13" s="855"/>
      <c r="G13" s="856"/>
      <c r="H13" s="857"/>
      <c r="I13" s="858"/>
      <c r="J13" s="859"/>
      <c r="K13" s="860"/>
      <c r="L13" s="861"/>
      <c r="M13" s="862"/>
      <c r="N13" s="863"/>
      <c r="O13" s="864"/>
      <c r="P13" s="198"/>
      <c r="Q13" s="865">
        <f>IF(A13="",0,F13*J13*L13)</f>
        <v>0</v>
      </c>
      <c r="R13" s="865"/>
      <c r="S13" s="199"/>
      <c r="T13" s="124"/>
      <c r="U13" s="204"/>
      <c r="Y13" s="205"/>
      <c r="AR13" s="124"/>
      <c r="AS13" s="124"/>
      <c r="AT13" s="124"/>
      <c r="AU13" s="124"/>
      <c r="AV13" s="124"/>
      <c r="AW13" s="124"/>
      <c r="AX13" s="528"/>
      <c r="AY13" s="122"/>
      <c r="AZ13" s="605"/>
      <c r="BA13" s="574" t="s">
        <v>230</v>
      </c>
      <c r="BB13" s="575"/>
      <c r="BC13" s="575"/>
      <c r="BD13" s="575"/>
      <c r="BE13" s="575"/>
      <c r="BF13" s="575"/>
      <c r="BG13" s="575"/>
      <c r="BH13" s="575"/>
      <c r="BI13" s="575"/>
      <c r="BJ13" s="576"/>
      <c r="BK13" s="540"/>
      <c r="BL13" s="606"/>
      <c r="BM13" s="122"/>
      <c r="BN13" s="122"/>
      <c r="BO13" s="324" t="s">
        <v>62</v>
      </c>
      <c r="BP13" s="210"/>
      <c r="BQ13" s="210"/>
      <c r="BR13" s="210"/>
      <c r="BS13" s="479"/>
      <c r="BT13" s="122"/>
      <c r="BU13" s="443" t="str">
        <f t="shared" si="0"/>
        <v/>
      </c>
      <c r="BV13" s="737"/>
      <c r="BW13" s="444">
        <f>SLS!W36</f>
        <v>-0.94</v>
      </c>
      <c r="BX13" s="446" t="e">
        <f t="shared" si="12"/>
        <v>#DIV/0!</v>
      </c>
      <c r="BY13" s="448">
        <f>ROUNDUP(SLS!AB36,0)</f>
        <v>40</v>
      </c>
      <c r="BZ13" s="536">
        <f t="shared" si="9"/>
        <v>11.4648</v>
      </c>
      <c r="CA13" s="537">
        <f t="shared" si="10"/>
        <v>17.91375</v>
      </c>
      <c r="CB13" s="538">
        <f t="shared" si="11"/>
        <v>20.472857142857144</v>
      </c>
      <c r="CC13" s="122"/>
      <c r="CD13" s="443" t="str">
        <f t="shared" si="1"/>
        <v/>
      </c>
      <c r="CE13" s="739"/>
      <c r="CF13" s="444">
        <f>'A1'!W36</f>
        <v>-0.94</v>
      </c>
      <c r="CG13" s="446">
        <f>'A1'!Z36</f>
        <v>0</v>
      </c>
      <c r="CH13" s="448">
        <f>ROUNDUP('A1'!AB36,0)</f>
        <v>40</v>
      </c>
      <c r="CI13" s="458">
        <f t="shared" si="2"/>
        <v>11.4648</v>
      </c>
      <c r="CJ13" s="459">
        <f t="shared" si="3"/>
        <v>17.91375</v>
      </c>
      <c r="CK13" s="460">
        <f t="shared" si="4"/>
        <v>20.472857142857144</v>
      </c>
      <c r="CL13" s="122"/>
      <c r="CM13" s="443" t="str">
        <f t="shared" si="5"/>
        <v/>
      </c>
      <c r="CN13" s="739"/>
      <c r="CO13" s="444">
        <f>'A2'!W36</f>
        <v>-0.94</v>
      </c>
      <c r="CP13" s="446">
        <f>'A2'!Z36</f>
        <v>0</v>
      </c>
      <c r="CQ13" s="448">
        <f>ROUNDUP('A2'!AB36,0)</f>
        <v>40</v>
      </c>
      <c r="CR13" s="458">
        <f t="shared" si="6"/>
        <v>11.4648</v>
      </c>
      <c r="CS13" s="459">
        <f t="shared" si="7"/>
        <v>17.91375</v>
      </c>
      <c r="CT13" s="460">
        <f t="shared" si="8"/>
        <v>20.472857142857144</v>
      </c>
      <c r="CU13" s="122"/>
      <c r="CV13" s="122"/>
      <c r="CW13" s="122"/>
      <c r="CX13" s="122"/>
      <c r="CY13" s="122"/>
      <c r="CZ13" s="122"/>
      <c r="DA13" s="122"/>
      <c r="DB13" s="122"/>
      <c r="DC13" s="122"/>
      <c r="DD13" s="122"/>
      <c r="DE13" s="122"/>
      <c r="DF13" s="122"/>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row>
    <row r="14" spans="1:150" s="146" customFormat="1" ht="13.5" customHeight="1" thickTop="1" thickBot="1">
      <c r="A14" s="516"/>
      <c r="B14" s="234"/>
      <c r="C14" s="234"/>
      <c r="D14" s="234"/>
      <c r="E14" s="234"/>
      <c r="F14" s="234"/>
      <c r="G14" s="234"/>
      <c r="H14" s="234"/>
      <c r="I14" s="234"/>
      <c r="J14" s="234"/>
      <c r="K14" s="499"/>
      <c r="L14" s="234"/>
      <c r="M14" s="589"/>
      <c r="O14" s="590" t="s">
        <v>238</v>
      </c>
      <c r="P14" s="200">
        <f>(N11*Q11+N12*Q12+N13*Q13)/Q14</f>
        <v>38</v>
      </c>
      <c r="Q14" s="902">
        <f>Q11+Q12+Q13</f>
        <v>3040</v>
      </c>
      <c r="R14" s="902"/>
      <c r="S14" s="201"/>
      <c r="T14" s="124"/>
      <c r="U14" s="903" t="s">
        <v>161</v>
      </c>
      <c r="V14" s="904"/>
      <c r="W14" s="217" t="s">
        <v>162</v>
      </c>
      <c r="X14" s="218"/>
      <c r="Y14" s="218"/>
      <c r="Z14" s="218"/>
      <c r="AA14" s="218"/>
      <c r="AB14" s="218"/>
      <c r="AC14" s="218"/>
      <c r="AD14" s="218"/>
      <c r="AE14" s="218"/>
      <c r="AF14" s="218"/>
      <c r="AG14" s="218"/>
      <c r="AH14" s="218"/>
      <c r="AI14" s="218"/>
      <c r="AJ14" s="218"/>
      <c r="AK14" s="218"/>
      <c r="AL14" s="432"/>
      <c r="AM14" s="432"/>
      <c r="AN14" s="432"/>
      <c r="AO14" s="432"/>
      <c r="AP14" s="432"/>
      <c r="AQ14" s="485"/>
      <c r="AR14" s="124"/>
      <c r="AS14" s="124"/>
      <c r="AT14" s="124"/>
      <c r="AU14" s="124"/>
      <c r="AV14" s="124"/>
      <c r="AW14" s="124"/>
      <c r="AX14" s="528"/>
      <c r="AY14" s="122"/>
      <c r="AZ14" s="605"/>
      <c r="BA14" s="905">
        <f>R18/1000</f>
        <v>1.7024000000000001</v>
      </c>
      <c r="BB14" s="906"/>
      <c r="BC14" s="906"/>
      <c r="BD14" s="906"/>
      <c r="BE14" s="907">
        <f>N16</f>
        <v>10</v>
      </c>
      <c r="BF14" s="907"/>
      <c r="BG14" s="907"/>
      <c r="BH14" s="908">
        <f>Q18</f>
        <v>60</v>
      </c>
      <c r="BI14" s="908"/>
      <c r="BJ14" s="909"/>
      <c r="BK14" s="540"/>
      <c r="BL14" s="606"/>
      <c r="BM14" s="122"/>
      <c r="BN14" s="122"/>
      <c r="BO14" s="910" t="s">
        <v>119</v>
      </c>
      <c r="BP14" s="911"/>
      <c r="BQ14" s="911"/>
      <c r="BR14" s="911"/>
      <c r="BS14" s="912"/>
      <c r="BT14" s="122"/>
      <c r="BU14" s="879" t="str">
        <f>G21</f>
        <v>Hotel-Standard</v>
      </c>
      <c r="BV14" s="880"/>
      <c r="BW14" s="880"/>
      <c r="BX14" s="880"/>
      <c r="BY14" s="880"/>
      <c r="BZ14" s="291"/>
      <c r="CA14" s="291"/>
      <c r="CB14" s="450"/>
      <c r="CC14" s="122"/>
      <c r="CD14" s="879" t="str">
        <f>V16</f>
        <v>Hotel-Standard</v>
      </c>
      <c r="CE14" s="880"/>
      <c r="CF14" s="880"/>
      <c r="CG14" s="880"/>
      <c r="CH14" s="880"/>
      <c r="CI14" s="122"/>
      <c r="CJ14" s="122"/>
      <c r="CK14" s="122"/>
      <c r="CL14" s="122"/>
      <c r="CM14" s="879" t="str">
        <f>V22</f>
        <v>Hotel-Standard</v>
      </c>
      <c r="CN14" s="880"/>
      <c r="CO14" s="880"/>
      <c r="CP14" s="880"/>
      <c r="CQ14" s="880"/>
      <c r="CR14" s="122"/>
      <c r="CS14" s="122"/>
      <c r="CT14" s="122"/>
      <c r="CU14" s="122"/>
      <c r="CV14" s="122"/>
      <c r="CW14" s="122"/>
      <c r="CX14" s="122"/>
      <c r="CY14" s="122"/>
      <c r="CZ14" s="122"/>
      <c r="DA14" s="122"/>
      <c r="DB14" s="122"/>
      <c r="DC14" s="122"/>
      <c r="DD14" s="122"/>
      <c r="DE14" s="122"/>
      <c r="DF14" s="122"/>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row>
    <row r="15" spans="1:150" s="146" customFormat="1" ht="13.5" customHeight="1" thickBot="1">
      <c r="A15" s="881" t="s">
        <v>122</v>
      </c>
      <c r="B15" s="882"/>
      <c r="C15" s="882"/>
      <c r="D15" s="882"/>
      <c r="E15" s="882"/>
      <c r="F15" s="882"/>
      <c r="G15" s="882"/>
      <c r="H15" s="883"/>
      <c r="I15" s="124"/>
      <c r="J15" s="124"/>
      <c r="K15" s="887" t="s">
        <v>237</v>
      </c>
      <c r="L15" s="887"/>
      <c r="M15" s="888"/>
      <c r="N15" s="508" t="s">
        <v>14</v>
      </c>
      <c r="O15" s="893" t="s">
        <v>151</v>
      </c>
      <c r="P15" s="894"/>
      <c r="Q15" s="509" t="s">
        <v>14</v>
      </c>
      <c r="R15" s="895" t="s">
        <v>152</v>
      </c>
      <c r="S15" s="896"/>
      <c r="T15" s="124"/>
      <c r="U15" s="487"/>
      <c r="V15" s="897" t="s">
        <v>217</v>
      </c>
      <c r="W15" s="897"/>
      <c r="X15" s="897"/>
      <c r="Y15" s="897"/>
      <c r="Z15" s="898"/>
      <c r="AA15" s="899" t="s">
        <v>187</v>
      </c>
      <c r="AB15" s="900"/>
      <c r="AC15" s="901">
        <v>76</v>
      </c>
      <c r="AD15" s="901"/>
      <c r="AE15" s="916" t="s">
        <v>207</v>
      </c>
      <c r="AF15" s="917"/>
      <c r="AG15" s="918" t="s">
        <v>157</v>
      </c>
      <c r="AH15" s="918"/>
      <c r="AI15" s="918"/>
      <c r="AJ15" s="918"/>
      <c r="AK15" s="918"/>
      <c r="AL15" s="918"/>
      <c r="AM15" s="371"/>
      <c r="AN15" s="371"/>
      <c r="AO15" s="371"/>
      <c r="AP15" s="520" t="s">
        <v>19</v>
      </c>
      <c r="AQ15" s="649">
        <v>1</v>
      </c>
      <c r="AR15" s="124"/>
      <c r="AS15" s="124"/>
      <c r="AT15" s="124"/>
      <c r="AU15" s="124"/>
      <c r="AV15" s="124"/>
      <c r="AW15" s="124"/>
      <c r="AX15" s="528"/>
      <c r="AY15" s="122"/>
      <c r="AZ15" s="605"/>
      <c r="BA15" s="571"/>
      <c r="BB15" s="919">
        <f>BA14*1.163*(Q18-N16)</f>
        <v>98.994560000000007</v>
      </c>
      <c r="BC15" s="919"/>
      <c r="BD15" s="919"/>
      <c r="BE15" s="919"/>
      <c r="BF15" s="919"/>
      <c r="BG15" s="540"/>
      <c r="BH15" s="540"/>
      <c r="BI15" s="540"/>
      <c r="BJ15" s="541"/>
      <c r="BK15" s="540"/>
      <c r="BL15" s="606"/>
      <c r="BM15" s="122"/>
      <c r="BN15" s="122"/>
      <c r="BO15" s="913"/>
      <c r="BP15" s="914"/>
      <c r="BQ15" s="914"/>
      <c r="BR15" s="914"/>
      <c r="BS15" s="915"/>
      <c r="BT15" s="122"/>
      <c r="BU15" s="194"/>
      <c r="BV15" s="471">
        <f>BV8</f>
        <v>0</v>
      </c>
      <c r="BW15" s="186">
        <f>VLOOKUP(BU14,BO7:BW13,9,0)</f>
        <v>-0.13</v>
      </c>
      <c r="BX15" s="483" t="e">
        <f>VLOOKUP(BU14,BO7:BX13,10,0)</f>
        <v>#DIV/0!</v>
      </c>
      <c r="BY15" s="322">
        <f>VLOOKUP(BU14,BO7:BY13,11,0)</f>
        <v>6</v>
      </c>
      <c r="BZ15" s="440">
        <f>VLOOKUP(BU14,BO7:BZ13,12,0)</f>
        <v>1.7197199999999997</v>
      </c>
      <c r="CA15" s="484">
        <f>VLOOKUP(BU14,BO7:CA13,13,0)</f>
        <v>2.6870624999999997</v>
      </c>
      <c r="CB15" s="186">
        <f>VLOOKUP(BU14,BO8:CB13,14,0)</f>
        <v>3.070928571428571</v>
      </c>
      <c r="CC15" s="122"/>
      <c r="CD15" s="194"/>
      <c r="CE15" s="471">
        <f>IF(CD7="X",CE7,CE8)</f>
        <v>0</v>
      </c>
      <c r="CF15" s="186">
        <f>VLOOKUP(CD14,BO7:CG13,18,0)</f>
        <v>-0.13</v>
      </c>
      <c r="CG15" s="483">
        <f>VLOOKUP(CD14,BO7:CH13,19,0)</f>
        <v>0</v>
      </c>
      <c r="CH15" s="322">
        <f>VLOOKUP(CD14,BO7:CI13,20,0)</f>
        <v>6</v>
      </c>
      <c r="CI15" s="440">
        <f>VLOOKUP(CD14,BO7:CJ13,21,0)</f>
        <v>1.7197199999999997</v>
      </c>
      <c r="CJ15" s="484">
        <f>VLOOKUP(CD14,BO7:CK13,22,0)</f>
        <v>2.6870624999999997</v>
      </c>
      <c r="CK15" s="186">
        <f>VLOOKUP(CD14,BO7:CK13,23,0)</f>
        <v>3.070928571428571</v>
      </c>
      <c r="CL15" s="122"/>
      <c r="CM15" s="194"/>
      <c r="CN15" s="471">
        <f>IF(CM7="X",CN7,CN8)</f>
        <v>0</v>
      </c>
      <c r="CO15" s="186">
        <f>VLOOKUP(CM14,BO7:CO13,27,0)</f>
        <v>-0.13</v>
      </c>
      <c r="CP15" s="483">
        <f>VLOOKUP(CM14,BO7:CQ13,28,0)</f>
        <v>0</v>
      </c>
      <c r="CQ15" s="322">
        <f>VLOOKUP(CM14,BO7:CQ13,29,0)</f>
        <v>6</v>
      </c>
      <c r="CR15" s="440">
        <f>VLOOKUP(CM14,BO7:CR13,30,0)</f>
        <v>1.7197199999999997</v>
      </c>
      <c r="CS15" s="484">
        <f>VLOOKUP(CM14,BO7:CS13,31,0)</f>
        <v>2.6870624999999997</v>
      </c>
      <c r="CT15" s="186">
        <f>VLOOKUP(CM14,BO7:CT13,32,0)</f>
        <v>3.070928571428571</v>
      </c>
      <c r="CU15" s="122"/>
      <c r="CV15" s="122"/>
      <c r="CW15" s="122"/>
      <c r="CX15" s="122"/>
      <c r="CY15" s="122"/>
      <c r="CZ15" s="122"/>
      <c r="DA15" s="122"/>
      <c r="DB15" s="122"/>
      <c r="DC15" s="122"/>
      <c r="DD15" s="122"/>
      <c r="DE15" s="122"/>
      <c r="DF15" s="122"/>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row>
    <row r="16" spans="1:150" s="146" customFormat="1" ht="13.5" customHeight="1" thickBot="1">
      <c r="A16" s="884"/>
      <c r="B16" s="885"/>
      <c r="C16" s="885"/>
      <c r="D16" s="885"/>
      <c r="E16" s="885"/>
      <c r="F16" s="885"/>
      <c r="G16" s="885"/>
      <c r="H16" s="886"/>
      <c r="I16" s="124"/>
      <c r="J16" s="124"/>
      <c r="K16" s="889"/>
      <c r="L16" s="889"/>
      <c r="M16" s="890"/>
      <c r="N16" s="961">
        <v>10</v>
      </c>
      <c r="O16" s="963">
        <f>IF(A10=0,"",Q14*(Q16-P14)/(Q16-N16))</f>
        <v>0</v>
      </c>
      <c r="P16" s="964"/>
      <c r="Q16" s="510">
        <v>38</v>
      </c>
      <c r="R16" s="965">
        <f>IF(A10=0,"",Q14-O16)</f>
        <v>3040</v>
      </c>
      <c r="S16" s="966"/>
      <c r="T16" s="207"/>
      <c r="V16" s="967" t="s">
        <v>117</v>
      </c>
      <c r="W16" s="968"/>
      <c r="X16" s="968"/>
      <c r="Y16" s="968"/>
      <c r="Z16" s="968"/>
      <c r="AA16" s="969"/>
      <c r="AB16" s="969"/>
      <c r="AC16" s="969"/>
      <c r="AD16" s="970"/>
      <c r="AI16" s="971" t="s">
        <v>13</v>
      </c>
      <c r="AJ16" s="821"/>
      <c r="AK16" s="972"/>
      <c r="AL16" s="971" t="s">
        <v>12</v>
      </c>
      <c r="AM16" s="821"/>
      <c r="AN16" s="972"/>
      <c r="AO16" s="920" t="str">
        <f>IF(A13="","",A13)</f>
        <v/>
      </c>
      <c r="AP16" s="921"/>
      <c r="AQ16" s="922"/>
      <c r="AR16" s="124"/>
      <c r="AS16" s="124"/>
      <c r="AT16" s="124"/>
      <c r="AU16" s="124"/>
      <c r="AV16" s="124"/>
      <c r="AW16" s="124"/>
      <c r="AX16" s="528"/>
      <c r="AY16" s="122"/>
      <c r="AZ16" s="605"/>
      <c r="BA16" s="571"/>
      <c r="BB16" s="569" t="s">
        <v>231</v>
      </c>
      <c r="BC16" s="540"/>
      <c r="BD16" s="540"/>
      <c r="BE16" s="540"/>
      <c r="BF16" s="540"/>
      <c r="BG16" s="540"/>
      <c r="BH16" s="540"/>
      <c r="BI16" s="540"/>
      <c r="BJ16" s="541"/>
      <c r="BK16" s="540"/>
      <c r="BL16" s="606"/>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row>
    <row r="17" spans="1:150" s="146" customFormat="1" ht="13.5" customHeight="1">
      <c r="A17" s="516"/>
      <c r="B17" s="226"/>
      <c r="C17" s="502" t="s">
        <v>120</v>
      </c>
      <c r="D17" s="923">
        <f>IF(A10=0,"",ROUNDUP(IF(O42=1,10,HLOOKUP(1,M42:AP43,2,0)),0))</f>
        <v>10</v>
      </c>
      <c r="E17" s="923"/>
      <c r="F17" s="503" t="s">
        <v>6</v>
      </c>
      <c r="G17" s="504"/>
      <c r="H17" s="521"/>
      <c r="I17" s="124"/>
      <c r="J17" s="124"/>
      <c r="K17" s="889"/>
      <c r="L17" s="889"/>
      <c r="M17" s="890"/>
      <c r="N17" s="962"/>
      <c r="O17" s="924">
        <f>IF(A10=0,"",Q14*(Q17-P14)/(Q17-N16))</f>
        <v>380</v>
      </c>
      <c r="P17" s="925"/>
      <c r="Q17" s="510">
        <v>42</v>
      </c>
      <c r="R17" s="926">
        <f>IF(A10=0,"",Q14-O17)</f>
        <v>2660</v>
      </c>
      <c r="S17" s="927"/>
      <c r="T17" s="207"/>
      <c r="U17" s="928" t="str">
        <f>IF(AQ15&gt;1,"jeweils","")</f>
        <v/>
      </c>
      <c r="V17" s="929"/>
      <c r="W17" s="929"/>
      <c r="Z17" s="595" t="s">
        <v>219</v>
      </c>
      <c r="AA17" s="952">
        <v>263</v>
      </c>
      <c r="AB17" s="952"/>
      <c r="AC17" s="952"/>
      <c r="AD17" s="953" t="s">
        <v>206</v>
      </c>
      <c r="AE17" s="954"/>
      <c r="AF17" s="954"/>
      <c r="AG17" s="954"/>
      <c r="AH17" s="955"/>
      <c r="AI17" s="486"/>
      <c r="AJ17" s="956">
        <v>76</v>
      </c>
      <c r="AK17" s="957"/>
      <c r="AL17" s="486"/>
      <c r="AM17" s="958">
        <v>0</v>
      </c>
      <c r="AN17" s="959"/>
      <c r="AO17" s="486"/>
      <c r="AP17" s="958"/>
      <c r="AQ17" s="960"/>
      <c r="AR17" s="124"/>
      <c r="AS17" s="124"/>
      <c r="AT17" s="124"/>
      <c r="AU17" s="124"/>
      <c r="AV17" s="124"/>
      <c r="AW17" s="124"/>
      <c r="AX17" s="528"/>
      <c r="AY17" s="122"/>
      <c r="AZ17" s="605"/>
      <c r="BA17" s="572"/>
      <c r="BB17" s="930">
        <f>I23</f>
        <v>130</v>
      </c>
      <c r="BC17" s="930"/>
      <c r="BD17" s="930"/>
      <c r="BE17" s="931">
        <f>D18</f>
        <v>35</v>
      </c>
      <c r="BF17" s="931"/>
      <c r="BG17" s="931"/>
      <c r="BH17" s="932"/>
      <c r="BI17" s="932"/>
      <c r="BJ17" s="933"/>
      <c r="BK17" s="540"/>
      <c r="BL17" s="606"/>
      <c r="BM17" s="122"/>
      <c r="BN17" s="122"/>
      <c r="BO17" s="934" t="s">
        <v>148</v>
      </c>
      <c r="BP17" s="935"/>
      <c r="BQ17" s="935"/>
      <c r="BR17" s="935"/>
      <c r="BS17" s="936"/>
      <c r="BT17" s="122"/>
      <c r="BU17" s="937" t="str">
        <f>"Zur Verfügung stehende Wärmearbeit im erwarteten Nutzungszeitraum von "&amp;D18&amp;" Minuten"</f>
        <v>Zur Verfügung stehende Wärmearbeit im erwarteten Nutzungszeitraum von 35 Minuten</v>
      </c>
      <c r="BV17" s="938"/>
      <c r="BW17" s="938"/>
      <c r="BX17" s="938"/>
      <c r="BY17" s="938"/>
      <c r="BZ17" s="938"/>
      <c r="CA17" s="938"/>
      <c r="CB17" s="939"/>
      <c r="CC17" s="549"/>
      <c r="CD17" s="549"/>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row>
    <row r="18" spans="1:150" s="146" customFormat="1" ht="13.5" customHeight="1" thickBot="1">
      <c r="A18" s="206"/>
      <c r="B18" s="209"/>
      <c r="C18" s="507" t="s">
        <v>121</v>
      </c>
      <c r="D18" s="943">
        <v>35</v>
      </c>
      <c r="E18" s="943"/>
      <c r="F18" s="208" t="s">
        <v>6</v>
      </c>
      <c r="G18" s="208"/>
      <c r="H18" s="522"/>
      <c r="I18" s="224"/>
      <c r="J18" s="224"/>
      <c r="K18" s="891"/>
      <c r="L18" s="891"/>
      <c r="M18" s="892"/>
      <c r="N18" s="962"/>
      <c r="O18" s="944">
        <f>IF(A10=0,"",Q14*(Q18-P14)/(Q18-N16))</f>
        <v>1337.6</v>
      </c>
      <c r="P18" s="945"/>
      <c r="Q18" s="511">
        <v>60</v>
      </c>
      <c r="R18" s="946">
        <f>IF(A10=0,"",Q14-O18)</f>
        <v>1702.4</v>
      </c>
      <c r="S18" s="947"/>
      <c r="T18" s="207"/>
      <c r="U18" s="614"/>
      <c r="V18" s="615"/>
      <c r="Z18" s="595" t="s">
        <v>218</v>
      </c>
      <c r="AA18" s="488"/>
      <c r="AB18" s="948">
        <v>18</v>
      </c>
      <c r="AC18" s="948"/>
      <c r="AD18" s="949" t="str">
        <f>IF(V16=BO7,"gleichzeitig","")</f>
        <v/>
      </c>
      <c r="AE18" s="950"/>
      <c r="AF18" s="950"/>
      <c r="AG18" s="950"/>
      <c r="AH18" s="951"/>
      <c r="AI18" s="489"/>
      <c r="AJ18" s="973"/>
      <c r="AK18" s="974"/>
      <c r="AL18" s="489"/>
      <c r="AM18" s="975"/>
      <c r="AN18" s="976"/>
      <c r="AO18" s="489"/>
      <c r="AP18" s="986"/>
      <c r="AQ18" s="987"/>
      <c r="AR18" s="124"/>
      <c r="AS18" s="124"/>
      <c r="AT18" s="124"/>
      <c r="AU18" s="124"/>
      <c r="AV18" s="124"/>
      <c r="AW18" s="124"/>
      <c r="AX18" s="528"/>
      <c r="AY18" s="122"/>
      <c r="AZ18" s="605"/>
      <c r="BA18" s="571"/>
      <c r="BB18" s="919">
        <f>BB17/60*BE17</f>
        <v>75.833333333333329</v>
      </c>
      <c r="BC18" s="919"/>
      <c r="BD18" s="919"/>
      <c r="BE18" s="919"/>
      <c r="BF18" s="919"/>
      <c r="BG18" s="540"/>
      <c r="BH18" s="540"/>
      <c r="BI18" s="540"/>
      <c r="BJ18" s="541"/>
      <c r="BK18" s="540"/>
      <c r="BL18" s="606"/>
      <c r="BM18" s="122"/>
      <c r="BN18" s="122"/>
      <c r="BO18" s="988">
        <v>18</v>
      </c>
      <c r="BP18" s="989"/>
      <c r="BQ18" s="990"/>
      <c r="BR18" s="991">
        <f>AD11</f>
        <v>145</v>
      </c>
      <c r="BS18" s="992"/>
      <c r="BT18" s="122"/>
      <c r="BU18" s="940"/>
      <c r="BV18" s="941"/>
      <c r="BW18" s="941"/>
      <c r="BX18" s="941"/>
      <c r="BY18" s="941"/>
      <c r="BZ18" s="941"/>
      <c r="CA18" s="941"/>
      <c r="CB18" s="942"/>
      <c r="CC18" s="549"/>
      <c r="CD18" s="549"/>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45"/>
      <c r="DM18" s="145"/>
      <c r="DN18" s="145"/>
      <c r="DO18" s="145"/>
      <c r="DP18" s="145"/>
      <c r="DQ18" s="145"/>
      <c r="DR18" s="145"/>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row>
    <row r="19" spans="1:150" s="146" customFormat="1" ht="13.5" customHeight="1" thickBot="1">
      <c r="A19" s="530"/>
      <c r="M19" s="203"/>
      <c r="O19" s="498"/>
      <c r="T19" s="207"/>
      <c r="U19" s="206"/>
      <c r="V19" s="612"/>
      <c r="W19" s="224"/>
      <c r="X19" s="224"/>
      <c r="Y19" s="224"/>
      <c r="Z19" s="224"/>
      <c r="AA19" s="224"/>
      <c r="AB19" s="224"/>
      <c r="AC19" s="224"/>
      <c r="AD19" s="647" t="str">
        <f>IF(AB18=0,"",VLOOKUP(AK19,BU28:BY33,5,1))</f>
        <v>Gesamte Schüttleistung mit</v>
      </c>
      <c r="AE19" s="993">
        <v>60</v>
      </c>
      <c r="AF19" s="993"/>
      <c r="AG19" s="994">
        <f>IF(AA17="","",AA17*14.331/($AE$19-N16))</f>
        <v>75.381059999999991</v>
      </c>
      <c r="AH19" s="994"/>
      <c r="AI19" s="994"/>
      <c r="AJ19" s="994"/>
      <c r="AK19" s="995" t="s">
        <v>134</v>
      </c>
      <c r="AL19" s="995"/>
      <c r="AM19" s="995"/>
      <c r="AN19" s="995"/>
      <c r="AO19" s="996"/>
      <c r="AP19" s="996"/>
      <c r="AQ19" s="525"/>
      <c r="AR19" s="124"/>
      <c r="AS19" s="124"/>
      <c r="AT19" s="124"/>
      <c r="AU19" s="124"/>
      <c r="AV19" s="124"/>
      <c r="AW19" s="124"/>
      <c r="AX19" s="528"/>
      <c r="AY19" s="122"/>
      <c r="AZ19" s="605"/>
      <c r="BA19" s="539"/>
      <c r="BB19" s="542" t="s">
        <v>232</v>
      </c>
      <c r="BC19" s="542"/>
      <c r="BD19" s="542"/>
      <c r="BE19" s="542"/>
      <c r="BF19" s="542"/>
      <c r="BG19" s="542"/>
      <c r="BH19" s="542"/>
      <c r="BI19" s="542"/>
      <c r="BJ19" s="543"/>
      <c r="BK19" s="542"/>
      <c r="BL19" s="607"/>
      <c r="BM19" s="122"/>
      <c r="BN19" s="122"/>
      <c r="BO19" s="122"/>
      <c r="BP19" s="122"/>
      <c r="BQ19" s="122"/>
      <c r="BR19" s="122"/>
      <c r="BS19" s="122"/>
      <c r="BT19" s="122"/>
      <c r="BU19" s="245"/>
      <c r="BV19" s="210"/>
      <c r="BW19" s="210"/>
      <c r="BX19" s="977">
        <f>AM36+AM32</f>
        <v>99.469733333333323</v>
      </c>
      <c r="BY19" s="977"/>
      <c r="BZ19" s="979" t="s">
        <v>57</v>
      </c>
      <c r="CA19" s="979"/>
      <c r="CB19" s="550"/>
      <c r="CC19" s="549"/>
      <c r="CD19" s="549"/>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row>
    <row r="20" spans="1:150" s="146" customFormat="1" ht="13.5" customHeight="1" thickBot="1">
      <c r="A20" s="981">
        <v>3</v>
      </c>
      <c r="B20" s="904"/>
      <c r="C20" s="217" t="s">
        <v>160</v>
      </c>
      <c r="D20" s="218"/>
      <c r="E20" s="218"/>
      <c r="F20" s="218"/>
      <c r="G20" s="218"/>
      <c r="H20" s="218"/>
      <c r="I20" s="218"/>
      <c r="J20" s="218"/>
      <c r="K20" s="218"/>
      <c r="L20" s="218"/>
      <c r="M20" s="218"/>
      <c r="N20" s="218"/>
      <c r="O20" s="218"/>
      <c r="P20" s="218"/>
      <c r="Q20" s="218"/>
      <c r="R20" s="218"/>
      <c r="S20" s="219"/>
      <c r="U20" s="211"/>
      <c r="V20" s="982" t="str">
        <f>IF(AD18="","",(AJ18+AM18)/AC15)</f>
        <v/>
      </c>
      <c r="W20" s="982"/>
      <c r="X20" s="523" t="str">
        <f>IF(AD18="","",IF(V20&gt;1,"Personenzahl überschritten","Gleichzeitigkeit der Personen"))</f>
        <v/>
      </c>
      <c r="Y20" s="212"/>
      <c r="Z20" s="212"/>
      <c r="AA20" s="212"/>
      <c r="AB20" s="212"/>
      <c r="AC20" s="212"/>
      <c r="AD20" s="212"/>
      <c r="AE20" s="212"/>
      <c r="AF20" s="212"/>
      <c r="AG20" s="212"/>
      <c r="AH20" s="212"/>
      <c r="AI20" s="212"/>
      <c r="AJ20" s="212"/>
      <c r="AK20" s="212"/>
      <c r="AL20" s="212"/>
      <c r="AM20" s="212"/>
      <c r="AN20" s="212"/>
      <c r="AO20" s="212"/>
      <c r="AP20" s="212"/>
      <c r="AQ20" s="524"/>
      <c r="AR20" s="124"/>
      <c r="AS20" s="124"/>
      <c r="AT20" s="124"/>
      <c r="AU20" s="124"/>
      <c r="AV20" s="124"/>
      <c r="AW20" s="124"/>
      <c r="AX20" s="528"/>
      <c r="AY20" s="122"/>
      <c r="AZ20" s="605"/>
      <c r="BA20" s="983">
        <f>BB15</f>
        <v>98.994560000000007</v>
      </c>
      <c r="BB20" s="984"/>
      <c r="BC20" s="984"/>
      <c r="BD20" s="984"/>
      <c r="BE20" s="984"/>
      <c r="BF20" s="985">
        <f>BB18</f>
        <v>75.833333333333329</v>
      </c>
      <c r="BG20" s="985"/>
      <c r="BH20" s="985"/>
      <c r="BI20" s="570"/>
      <c r="BJ20" s="573"/>
      <c r="BK20" s="542"/>
      <c r="BL20" s="607"/>
      <c r="BM20" s="122"/>
      <c r="BN20" s="122"/>
      <c r="BO20" s="239" t="s">
        <v>157</v>
      </c>
      <c r="BP20" s="240"/>
      <c r="BQ20" s="241"/>
      <c r="BR20" s="242"/>
      <c r="BS20" s="122"/>
      <c r="BT20" s="122"/>
      <c r="BU20" s="281"/>
      <c r="BV20" s="179"/>
      <c r="BW20" s="179"/>
      <c r="BX20" s="978"/>
      <c r="BY20" s="978"/>
      <c r="BZ20" s="980"/>
      <c r="CA20" s="980"/>
      <c r="CB20" s="551"/>
      <c r="CC20" s="549"/>
      <c r="CD20" s="549"/>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45"/>
      <c r="DM20" s="145"/>
      <c r="DN20" s="145"/>
      <c r="DO20" s="145"/>
      <c r="DP20" s="145"/>
      <c r="DQ20" s="145"/>
      <c r="DR20" s="145"/>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row>
    <row r="21" spans="1:150" s="146" customFormat="1" ht="13.5" customHeight="1" thickBot="1">
      <c r="A21" s="202" t="s">
        <v>143</v>
      </c>
      <c r="B21" s="124"/>
      <c r="C21" s="124"/>
      <c r="D21" s="124"/>
      <c r="E21" s="124"/>
      <c r="F21" s="124"/>
      <c r="G21" s="999" t="s">
        <v>117</v>
      </c>
      <c r="H21" s="1000"/>
      <c r="I21" s="1000"/>
      <c r="J21" s="1000"/>
      <c r="K21" s="1000"/>
      <c r="L21" s="1000"/>
      <c r="M21" s="1000"/>
      <c r="N21" s="1000"/>
      <c r="O21" s="1001"/>
      <c r="P21" s="124"/>
      <c r="Q21" s="124"/>
      <c r="R21" s="214"/>
      <c r="S21" s="225"/>
      <c r="T21" s="124"/>
      <c r="U21" s="487"/>
      <c r="V21" s="897" t="s">
        <v>220</v>
      </c>
      <c r="W21" s="897"/>
      <c r="X21" s="897"/>
      <c r="Y21" s="897"/>
      <c r="Z21" s="898"/>
      <c r="AA21" s="899" t="s">
        <v>187</v>
      </c>
      <c r="AB21" s="900"/>
      <c r="AC21" s="901"/>
      <c r="AD21" s="901"/>
      <c r="AE21" s="916" t="s">
        <v>207</v>
      </c>
      <c r="AF21" s="917"/>
      <c r="AG21" s="918" t="s">
        <v>155</v>
      </c>
      <c r="AH21" s="918"/>
      <c r="AI21" s="918"/>
      <c r="AJ21" s="918"/>
      <c r="AK21" s="918"/>
      <c r="AL21" s="918"/>
      <c r="AM21" s="371"/>
      <c r="AN21" s="371"/>
      <c r="AO21" s="371"/>
      <c r="AP21" s="520" t="s">
        <v>19</v>
      </c>
      <c r="AQ21" s="649">
        <v>10</v>
      </c>
      <c r="AR21" s="124"/>
      <c r="AS21" s="124"/>
      <c r="AT21" s="124"/>
      <c r="AU21" s="124"/>
      <c r="AV21" s="124"/>
      <c r="AW21" s="124"/>
      <c r="AX21" s="528"/>
      <c r="AY21" s="122"/>
      <c r="AZ21" s="605"/>
      <c r="BA21" s="539"/>
      <c r="BB21" s="919">
        <f>BA20-BF20</f>
        <v>23.161226666666678</v>
      </c>
      <c r="BC21" s="919"/>
      <c r="BD21" s="919"/>
      <c r="BE21" s="919"/>
      <c r="BF21" s="919"/>
      <c r="BG21" s="542"/>
      <c r="BH21" s="542"/>
      <c r="BI21" s="542"/>
      <c r="BJ21" s="543"/>
      <c r="BK21" s="542"/>
      <c r="BL21" s="607"/>
      <c r="BM21" s="122"/>
      <c r="BN21" s="122"/>
      <c r="BO21" s="243" t="s">
        <v>158</v>
      </c>
      <c r="BP21" s="210"/>
      <c r="BQ21" s="210"/>
      <c r="BR21" s="244"/>
      <c r="BS21" s="122"/>
      <c r="BT21" s="122"/>
      <c r="BU21" s="549"/>
      <c r="BV21" s="549"/>
      <c r="BW21" s="549"/>
      <c r="BX21" s="549"/>
      <c r="BY21" s="552"/>
      <c r="BZ21" s="552"/>
      <c r="CA21" s="552"/>
      <c r="CB21" s="552"/>
      <c r="CC21" s="552"/>
      <c r="CD21" s="549"/>
      <c r="CE21" s="122"/>
      <c r="CF21" s="122"/>
      <c r="CG21" s="122"/>
      <c r="CH21" s="122"/>
      <c r="CI21" s="122"/>
      <c r="CJ21" s="122"/>
      <c r="CK21" s="122"/>
      <c r="CL21" s="122"/>
      <c r="CM21" s="122"/>
      <c r="CN21" s="290"/>
      <c r="CO21" s="290"/>
      <c r="CP21" s="290"/>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45"/>
      <c r="DM21" s="145"/>
      <c r="DN21" s="145"/>
      <c r="DO21" s="145"/>
      <c r="DP21" s="145"/>
      <c r="DQ21" s="145"/>
      <c r="DR21" s="145"/>
      <c r="DS21" s="14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row>
    <row r="22" spans="1:150" s="146" customFormat="1" ht="13.5" customHeight="1">
      <c r="A22" s="500"/>
      <c r="B22" s="209"/>
      <c r="C22" s="209"/>
      <c r="D22" s="209"/>
      <c r="E22" s="209"/>
      <c r="F22" s="209"/>
      <c r="G22" s="224"/>
      <c r="H22" s="647" t="s">
        <v>144</v>
      </c>
      <c r="I22" s="997">
        <f>AA17</f>
        <v>263</v>
      </c>
      <c r="J22" s="997"/>
      <c r="K22" s="224" t="s">
        <v>221</v>
      </c>
      <c r="L22" s="224"/>
      <c r="M22" s="209"/>
      <c r="N22" s="526"/>
      <c r="O22" s="224"/>
      <c r="P22" s="209"/>
      <c r="Q22" s="209"/>
      <c r="R22" s="209"/>
      <c r="S22" s="501"/>
      <c r="T22" s="124"/>
      <c r="U22" s="223"/>
      <c r="V22" s="967" t="s">
        <v>117</v>
      </c>
      <c r="W22" s="968"/>
      <c r="X22" s="968"/>
      <c r="Y22" s="968"/>
      <c r="Z22" s="968"/>
      <c r="AA22" s="969"/>
      <c r="AB22" s="969"/>
      <c r="AC22" s="969"/>
      <c r="AD22" s="970"/>
      <c r="AI22" s="971" t="s">
        <v>13</v>
      </c>
      <c r="AJ22" s="821"/>
      <c r="AK22" s="972"/>
      <c r="AL22" s="971" t="s">
        <v>12</v>
      </c>
      <c r="AM22" s="821"/>
      <c r="AN22" s="972"/>
      <c r="AO22" s="920" t="str">
        <f>IF(A13="","",A13)</f>
        <v/>
      </c>
      <c r="AP22" s="921"/>
      <c r="AQ22" s="922"/>
      <c r="AR22" s="124"/>
      <c r="AS22" s="124"/>
      <c r="AT22" s="124"/>
      <c r="AU22" s="124"/>
      <c r="AV22" s="124"/>
      <c r="AW22" s="124"/>
      <c r="AX22" s="528"/>
      <c r="AY22" s="122"/>
      <c r="AZ22" s="605"/>
      <c r="BA22" s="539"/>
      <c r="BB22" s="542"/>
      <c r="BC22" s="998">
        <f>BE14</f>
        <v>10</v>
      </c>
      <c r="BD22" s="998"/>
      <c r="BE22" s="998"/>
      <c r="BF22" s="908">
        <f>BH14</f>
        <v>60</v>
      </c>
      <c r="BG22" s="908"/>
      <c r="BH22" s="908"/>
      <c r="BI22" s="542"/>
      <c r="BJ22" s="543"/>
      <c r="BK22" s="542"/>
      <c r="BL22" s="607"/>
      <c r="BM22" s="122"/>
      <c r="BN22" s="122"/>
      <c r="BO22" s="245" t="s">
        <v>155</v>
      </c>
      <c r="BP22" s="210"/>
      <c r="BQ22" s="210"/>
      <c r="BR22" s="244"/>
      <c r="BS22" s="122"/>
      <c r="BT22" s="122"/>
      <c r="BU22" s="1003" t="str">
        <f>"Zur Verfügung stehendes PWH-Volumen in dem Nutzungszeitraum  von "&amp;D18&amp;" Minuten"</f>
        <v>Zur Verfügung stehendes PWH-Volumen in dem Nutzungszeitraum  von 35 Minuten</v>
      </c>
      <c r="BV22" s="1004"/>
      <c r="BW22" s="1004"/>
      <c r="BX22" s="1004"/>
      <c r="BY22" s="1004"/>
      <c r="BZ22" s="1004"/>
      <c r="CA22" s="1005"/>
      <c r="CB22" s="553">
        <f>P25+P27</f>
        <v>1704.0985955861277</v>
      </c>
      <c r="CC22" s="242" t="s">
        <v>94</v>
      </c>
      <c r="CD22" s="549"/>
      <c r="CE22" s="122"/>
      <c r="CF22" s="122"/>
      <c r="CG22" s="122"/>
      <c r="CH22" s="122"/>
      <c r="CI22" s="122"/>
      <c r="CJ22" s="122"/>
      <c r="CK22" s="122"/>
      <c r="CL22" s="122"/>
      <c r="CM22" s="122"/>
      <c r="CN22" s="290"/>
      <c r="CO22" s="290"/>
      <c r="CP22" s="290"/>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45"/>
      <c r="DM22" s="145"/>
      <c r="DN22" s="145"/>
      <c r="DO22" s="145"/>
      <c r="DP22" s="145"/>
      <c r="DQ22" s="145"/>
      <c r="DR22" s="145"/>
      <c r="DS22" s="145"/>
      <c r="DT22" s="145"/>
      <c r="DU22" s="145"/>
      <c r="DV22" s="145"/>
      <c r="DW22" s="145"/>
      <c r="DX22" s="145"/>
      <c r="DY22" s="145"/>
      <c r="DZ22" s="145"/>
      <c r="EA22" s="145"/>
      <c r="EB22" s="145"/>
      <c r="EC22" s="145"/>
      <c r="ED22" s="145"/>
      <c r="EE22" s="145"/>
      <c r="EF22" s="145"/>
      <c r="EG22" s="145"/>
      <c r="EH22" s="145"/>
      <c r="EI22" s="145"/>
      <c r="EJ22" s="145"/>
      <c r="EK22" s="145"/>
      <c r="EL22" s="145"/>
      <c r="EM22" s="145"/>
      <c r="EN22" s="145"/>
      <c r="EO22" s="145"/>
      <c r="EP22" s="145"/>
      <c r="EQ22" s="145"/>
      <c r="ER22" s="145"/>
      <c r="ES22" s="145"/>
      <c r="ET22" s="145"/>
    </row>
    <row r="23" spans="1:150" s="146" customFormat="1" ht="13.5" customHeight="1" thickBot="1">
      <c r="A23" s="202"/>
      <c r="B23" s="124"/>
      <c r="C23" s="124"/>
      <c r="D23" s="124"/>
      <c r="E23" s="124"/>
      <c r="F23" s="124"/>
      <c r="G23" s="124"/>
      <c r="H23" s="372" t="s">
        <v>222</v>
      </c>
      <c r="I23" s="1009">
        <v>130</v>
      </c>
      <c r="J23" s="1010"/>
      <c r="K23" s="512" t="str">
        <f>IF(I23&gt;I22,"kW, ohne Speicher","kW, PWH-Speicher erforderlich")</f>
        <v>kW, PWH-Speicher erforderlich</v>
      </c>
      <c r="L23" s="513"/>
      <c r="M23" s="124"/>
      <c r="N23" s="124"/>
      <c r="O23" s="124"/>
      <c r="P23" s="124"/>
      <c r="Q23" s="124"/>
      <c r="R23" s="124"/>
      <c r="S23" s="207"/>
      <c r="T23" s="124"/>
      <c r="U23" s="928" t="str">
        <f>IF(AQ21&gt;1,"jeweils","")</f>
        <v>jeweils</v>
      </c>
      <c r="V23" s="929"/>
      <c r="W23" s="929"/>
      <c r="Z23" s="595" t="s">
        <v>219</v>
      </c>
      <c r="AA23" s="952">
        <f>CQ15</f>
        <v>6</v>
      </c>
      <c r="AB23" s="952"/>
      <c r="AC23" s="952"/>
      <c r="AD23" s="953" t="s">
        <v>206</v>
      </c>
      <c r="AE23" s="954"/>
      <c r="AF23" s="954"/>
      <c r="AG23" s="954"/>
      <c r="AH23" s="955"/>
      <c r="AI23" s="486"/>
      <c r="AJ23" s="956">
        <v>38</v>
      </c>
      <c r="AK23" s="957"/>
      <c r="AL23" s="486"/>
      <c r="AM23" s="958">
        <v>0</v>
      </c>
      <c r="AN23" s="959"/>
      <c r="AO23" s="486"/>
      <c r="AP23" s="958"/>
      <c r="AQ23" s="960"/>
      <c r="AR23" s="124"/>
      <c r="AS23" s="124"/>
      <c r="AT23" s="124"/>
      <c r="AU23" s="124"/>
      <c r="AV23" s="124"/>
      <c r="AW23" s="124"/>
      <c r="AX23" s="528"/>
      <c r="AY23" s="122"/>
      <c r="AZ23" s="605"/>
      <c r="BA23" s="545"/>
      <c r="BB23" s="546"/>
      <c r="BC23" s="1011">
        <f>BB21/1.163/(BF22-BC22)*1000</f>
        <v>398.30140441387238</v>
      </c>
      <c r="BD23" s="1011"/>
      <c r="BE23" s="1011"/>
      <c r="BF23" s="1011"/>
      <c r="BG23" s="546"/>
      <c r="BH23" s="546"/>
      <c r="BI23" s="546"/>
      <c r="BJ23" s="547"/>
      <c r="BK23" s="542"/>
      <c r="BL23" s="607"/>
      <c r="BM23" s="122"/>
      <c r="BN23" s="122"/>
      <c r="BO23" s="246" t="s">
        <v>156</v>
      </c>
      <c r="BP23" s="179"/>
      <c r="BQ23" s="179"/>
      <c r="BR23" s="247"/>
      <c r="BS23" s="122"/>
      <c r="BT23" s="122"/>
      <c r="BU23" s="1006"/>
      <c r="BV23" s="1007"/>
      <c r="BW23" s="1007"/>
      <c r="BX23" s="1007"/>
      <c r="BY23" s="1007"/>
      <c r="BZ23" s="1007"/>
      <c r="CA23" s="1008"/>
      <c r="CB23" s="554"/>
      <c r="CC23" s="555"/>
      <c r="CD23" s="549"/>
      <c r="CE23" s="122"/>
      <c r="CF23" s="122"/>
      <c r="CG23" s="122"/>
      <c r="CH23" s="122"/>
      <c r="CI23" s="122"/>
      <c r="CJ23" s="122"/>
      <c r="CK23" s="290"/>
      <c r="CL23" s="290"/>
      <c r="CM23" s="290"/>
      <c r="CN23" s="290"/>
      <c r="CO23" s="290"/>
      <c r="CP23" s="290"/>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45"/>
      <c r="DM23" s="145"/>
      <c r="DN23" s="145"/>
      <c r="DO23" s="145"/>
      <c r="DP23" s="145"/>
      <c r="DQ23" s="145"/>
      <c r="DR23" s="145"/>
      <c r="DS23" s="145"/>
      <c r="DT23" s="145"/>
      <c r="DU23" s="145"/>
      <c r="DV23" s="145"/>
      <c r="DW23" s="145"/>
      <c r="DX23" s="145"/>
      <c r="DY23" s="145"/>
      <c r="DZ23" s="145"/>
      <c r="EA23" s="145"/>
      <c r="EB23" s="145"/>
      <c r="EC23" s="145"/>
      <c r="ED23" s="145"/>
      <c r="EE23" s="145"/>
      <c r="EF23" s="145"/>
      <c r="EG23" s="145"/>
      <c r="EH23" s="145"/>
      <c r="EI23" s="145"/>
      <c r="EJ23" s="145"/>
      <c r="EK23" s="145"/>
      <c r="EL23" s="145"/>
      <c r="EM23" s="145"/>
      <c r="EN23" s="145"/>
      <c r="EO23" s="145"/>
      <c r="EP23" s="145"/>
      <c r="EQ23" s="145"/>
      <c r="ER23" s="145"/>
      <c r="ES23" s="145"/>
      <c r="ET23" s="145"/>
    </row>
    <row r="24" spans="1:150" s="146" customFormat="1" ht="13.5" customHeight="1" thickBot="1">
      <c r="A24" s="202"/>
      <c r="B24" s="124"/>
      <c r="C24" s="124"/>
      <c r="D24" s="221"/>
      <c r="E24" s="221"/>
      <c r="F24" s="221"/>
      <c r="G24" s="221"/>
      <c r="H24" s="221"/>
      <c r="I24" s="221"/>
      <c r="J24" s="221"/>
      <c r="K24" s="505" t="str">
        <f>"bei TW von "&amp;N16&amp;" °C auf "&amp;Q18&amp;" °C."</f>
        <v>bei TW von 10 °C auf 60 °C.</v>
      </c>
      <c r="L24" s="1002">
        <f>IF(I23="","",(I23*1000)/(AE1*(Q18-N16)*60))</f>
        <v>37.259959873889365</v>
      </c>
      <c r="M24" s="1002"/>
      <c r="N24" s="220" t="s">
        <v>239</v>
      </c>
      <c r="O24" s="220"/>
      <c r="P24" s="221"/>
      <c r="Q24" s="221"/>
      <c r="R24" s="221"/>
      <c r="S24" s="515"/>
      <c r="T24" s="124"/>
      <c r="U24" s="202"/>
      <c r="Z24" s="595" t="s">
        <v>218</v>
      </c>
      <c r="AA24" s="488"/>
      <c r="AB24" s="948">
        <f>CP15</f>
        <v>0</v>
      </c>
      <c r="AC24" s="948"/>
      <c r="AD24" s="949" t="str">
        <f>IF(V22=BO7,"gleichzeitig","")</f>
        <v/>
      </c>
      <c r="AE24" s="950"/>
      <c r="AF24" s="950"/>
      <c r="AG24" s="950"/>
      <c r="AH24" s="951"/>
      <c r="AI24" s="489"/>
      <c r="AJ24" s="973"/>
      <c r="AK24" s="974"/>
      <c r="AL24" s="489"/>
      <c r="AM24" s="975"/>
      <c r="AN24" s="976"/>
      <c r="AO24" s="489"/>
      <c r="AP24" s="986"/>
      <c r="AQ24" s="987"/>
      <c r="AR24" s="124"/>
      <c r="AS24" s="124"/>
      <c r="AT24" s="124"/>
      <c r="AU24" s="124"/>
      <c r="AV24" s="124"/>
      <c r="AW24" s="124"/>
      <c r="AX24" s="528"/>
      <c r="AY24" s="122"/>
      <c r="AZ24" s="605"/>
      <c r="BA24" s="542"/>
      <c r="BB24" s="542"/>
      <c r="BC24" s="542"/>
      <c r="BD24" s="542"/>
      <c r="BE24" s="542"/>
      <c r="BF24" s="542"/>
      <c r="BG24" s="542"/>
      <c r="BH24" s="542"/>
      <c r="BI24" s="542"/>
      <c r="BJ24" s="542"/>
      <c r="BK24" s="542"/>
      <c r="BL24" s="607"/>
      <c r="BM24" s="122"/>
      <c r="BN24" s="122"/>
      <c r="BO24" s="122"/>
      <c r="BP24" s="122"/>
      <c r="BQ24" s="122"/>
      <c r="BR24" s="122"/>
      <c r="BS24" s="122"/>
      <c r="BT24" s="122"/>
      <c r="BU24" s="556"/>
      <c r="BV24" s="557"/>
      <c r="BW24" s="557"/>
      <c r="BX24" s="557"/>
      <c r="BY24" s="557"/>
      <c r="BZ24" s="557"/>
      <c r="CA24" s="558" t="s">
        <v>139</v>
      </c>
      <c r="CB24" s="559">
        <f>ABS(I22-I23)</f>
        <v>133</v>
      </c>
      <c r="CC24" s="560" t="s">
        <v>10</v>
      </c>
      <c r="CD24" s="549"/>
      <c r="CE24" s="122"/>
      <c r="CF24" s="122"/>
      <c r="CG24" s="122"/>
      <c r="CH24" s="122"/>
      <c r="CI24" s="122"/>
      <c r="CJ24" s="122"/>
      <c r="CK24" s="290"/>
      <c r="CL24" s="290"/>
      <c r="CM24" s="290"/>
      <c r="CN24" s="290"/>
      <c r="CO24" s="290"/>
      <c r="CP24" s="290"/>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45"/>
      <c r="DM24" s="145"/>
      <c r="DN24" s="145"/>
      <c r="DO24" s="145"/>
      <c r="DP24" s="145"/>
      <c r="DQ24" s="145"/>
      <c r="DR24" s="145"/>
      <c r="DS24" s="145"/>
      <c r="DT24" s="145"/>
      <c r="DU24" s="145"/>
      <c r="DV24" s="145"/>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row>
    <row r="25" spans="1:150" s="146" customFormat="1" ht="13.5" customHeight="1">
      <c r="A25" s="202"/>
      <c r="B25" s="517"/>
      <c r="C25" s="124"/>
      <c r="D25" s="124"/>
      <c r="E25" s="221"/>
      <c r="F25" s="124"/>
      <c r="G25" s="124"/>
      <c r="H25" s="124"/>
      <c r="I25" s="124"/>
      <c r="J25" s="124"/>
      <c r="K25" s="124"/>
      <c r="L25" s="124"/>
      <c r="M25" s="124"/>
      <c r="N25" s="124"/>
      <c r="O25" s="506" t="str">
        <f>"im erwarteten Nutzungszeitraum ( "&amp;D18&amp;" min)"</f>
        <v>im erwarteten Nutzungszeitraum ( 35 min)</v>
      </c>
      <c r="P25" s="1019">
        <f>IF(A10=0,"",L24*D18)</f>
        <v>1304.0985955861277</v>
      </c>
      <c r="Q25" s="1020"/>
      <c r="R25" s="124" t="s">
        <v>236</v>
      </c>
      <c r="S25" s="207"/>
      <c r="T25" s="124"/>
      <c r="U25" s="206"/>
      <c r="V25" s="612"/>
      <c r="W25" s="224"/>
      <c r="X25" s="224"/>
      <c r="Y25" s="224"/>
      <c r="Z25" s="224"/>
      <c r="AA25" s="224"/>
      <c r="AB25" s="224"/>
      <c r="AC25" s="224"/>
      <c r="AD25" s="647" t="str">
        <f>IF(AA23=0,"",VLOOKUP(AK25,BU28:BY33,5,1))</f>
        <v>Gesamte Schüttleistung mit</v>
      </c>
      <c r="AE25" s="993">
        <v>60</v>
      </c>
      <c r="AF25" s="993"/>
      <c r="AG25" s="994" t="str">
        <f>IF(AC21="","",AA23*14.331/($AE$25-N16))</f>
        <v/>
      </c>
      <c r="AH25" s="994"/>
      <c r="AI25" s="994"/>
      <c r="AJ25" s="994"/>
      <c r="AK25" s="995" t="s">
        <v>134</v>
      </c>
      <c r="AL25" s="995"/>
      <c r="AM25" s="995"/>
      <c r="AN25" s="995"/>
      <c r="AO25" s="996"/>
      <c r="AP25" s="996"/>
      <c r="AQ25" s="525"/>
      <c r="AR25" s="124"/>
      <c r="AS25" s="124"/>
      <c r="AT25" s="124"/>
      <c r="AU25" s="124"/>
      <c r="AV25" s="124"/>
      <c r="AW25" s="124"/>
      <c r="AX25" s="528"/>
      <c r="AY25" s="122"/>
      <c r="AZ25" s="605"/>
      <c r="BA25" s="574" t="s">
        <v>233</v>
      </c>
      <c r="BB25" s="575"/>
      <c r="BC25" s="575"/>
      <c r="BD25" s="575"/>
      <c r="BE25" s="575"/>
      <c r="BF25" s="575"/>
      <c r="BG25" s="575"/>
      <c r="BH25" s="575"/>
      <c r="BI25" s="575"/>
      <c r="BJ25" s="576"/>
      <c r="BK25" s="542"/>
      <c r="BL25" s="607"/>
      <c r="BM25" s="122"/>
      <c r="BN25" s="122"/>
      <c r="BO25" s="1021">
        <f>IF(MAX(BH31:BJ32)&gt;200,ROUND(MAX(BH31:BJ32),0),200)</f>
        <v>387</v>
      </c>
      <c r="BP25" s="1022"/>
      <c r="BQ25" s="122"/>
      <c r="BR25" s="122"/>
      <c r="BS25" s="122"/>
      <c r="BT25" s="122"/>
      <c r="BU25" s="561"/>
      <c r="BV25" s="142"/>
      <c r="BW25" s="142"/>
      <c r="BX25" s="142"/>
      <c r="BY25" s="142"/>
      <c r="BZ25" s="142"/>
      <c r="CA25" s="562" t="s">
        <v>140</v>
      </c>
      <c r="CB25" s="563">
        <f>B10*60</f>
        <v>240</v>
      </c>
      <c r="CC25" s="564" t="s">
        <v>141</v>
      </c>
      <c r="CD25" s="549"/>
      <c r="CE25" s="122"/>
      <c r="CF25" s="122"/>
      <c r="CG25" s="122"/>
      <c r="CH25" s="122"/>
      <c r="CI25" s="122"/>
      <c r="CJ25" s="122"/>
      <c r="CK25" s="290"/>
      <c r="CL25" s="290"/>
      <c r="CM25" s="290"/>
      <c r="CN25" s="290"/>
      <c r="CO25" s="290"/>
      <c r="CP25" s="290"/>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45"/>
      <c r="DM25" s="145"/>
      <c r="DN25" s="145"/>
      <c r="DO25" s="145"/>
      <c r="DP25" s="145"/>
      <c r="DQ25" s="145"/>
      <c r="DR25" s="145"/>
      <c r="DS25" s="145"/>
      <c r="DT25" s="145"/>
      <c r="DU25" s="145"/>
      <c r="DV25" s="145"/>
      <c r="DW25" s="145"/>
      <c r="DX25" s="145"/>
      <c r="DY25" s="145"/>
      <c r="DZ25" s="145"/>
      <c r="EA25" s="145"/>
      <c r="EB25" s="145"/>
      <c r="EC25" s="145"/>
      <c r="ED25" s="145"/>
      <c r="EE25" s="145"/>
      <c r="EF25" s="145"/>
      <c r="EG25" s="145"/>
      <c r="EH25" s="145"/>
      <c r="EI25" s="145"/>
      <c r="EJ25" s="145"/>
      <c r="EK25" s="145"/>
      <c r="EL25" s="145"/>
      <c r="EM25" s="145"/>
      <c r="EN25" s="145"/>
      <c r="EO25" s="145"/>
      <c r="EP25" s="145"/>
      <c r="EQ25" s="145"/>
      <c r="ER25" s="145"/>
      <c r="ES25" s="145"/>
      <c r="ET25" s="145"/>
    </row>
    <row r="26" spans="1:150" s="146" customFormat="1" ht="13.5" customHeight="1" thickBot="1">
      <c r="A26" s="202"/>
      <c r="B26" s="124"/>
      <c r="C26" s="124"/>
      <c r="D26" s="514"/>
      <c r="F26" s="514"/>
      <c r="G26" s="1029" t="s">
        <v>223</v>
      </c>
      <c r="H26" s="1029"/>
      <c r="I26" s="1029"/>
      <c r="J26" s="1029"/>
      <c r="K26" s="1029"/>
      <c r="L26" s="221"/>
      <c r="M26" s="221"/>
      <c r="N26" s="221"/>
      <c r="O26" s="222" t="s">
        <v>183</v>
      </c>
      <c r="P26" s="1031">
        <f>IF(A10=0,"",R18-P25)</f>
        <v>398.30140441387243</v>
      </c>
      <c r="Q26" s="1032"/>
      <c r="R26" s="221" t="s">
        <v>236</v>
      </c>
      <c r="S26" s="515"/>
      <c r="T26" s="124"/>
      <c r="U26" s="211"/>
      <c r="V26" s="982" t="str">
        <f>IF(AD24="","",(AJ24+AM24)/AC21)</f>
        <v/>
      </c>
      <c r="W26" s="982"/>
      <c r="X26" s="523" t="str">
        <f>IF(AD24="","",IF(V26&gt;1,"Personenzahl überschritten","Gleichzeitigkeit der Personen"))</f>
        <v/>
      </c>
      <c r="Y26" s="212"/>
      <c r="Z26" s="212"/>
      <c r="AA26" s="212"/>
      <c r="AB26" s="212"/>
      <c r="AC26" s="212"/>
      <c r="AD26" s="212"/>
      <c r="AE26" s="212"/>
      <c r="AF26" s="212"/>
      <c r="AG26" s="212"/>
      <c r="AH26" s="212"/>
      <c r="AI26" s="212"/>
      <c r="AJ26" s="212"/>
      <c r="AK26" s="212"/>
      <c r="AL26" s="212"/>
      <c r="AM26" s="212"/>
      <c r="AN26" s="212"/>
      <c r="AO26" s="212"/>
      <c r="AP26" s="212"/>
      <c r="AQ26" s="524"/>
      <c r="AR26" s="124"/>
      <c r="AS26" s="124"/>
      <c r="AT26" s="124"/>
      <c r="AU26" s="124"/>
      <c r="AV26" s="124"/>
      <c r="AW26" s="124"/>
      <c r="AX26" s="528"/>
      <c r="AY26" s="122"/>
      <c r="AZ26" s="605"/>
      <c r="BA26" s="596" t="s">
        <v>243</v>
      </c>
      <c r="BB26" s="542"/>
      <c r="BC26" s="542"/>
      <c r="BD26" s="542"/>
      <c r="BE26" s="542"/>
      <c r="BF26" s="542"/>
      <c r="BG26" s="542"/>
      <c r="BH26" s="765">
        <f>I22</f>
        <v>263</v>
      </c>
      <c r="BI26" s="765"/>
      <c r="BJ26" s="1033"/>
      <c r="BK26" s="542"/>
      <c r="BL26" s="607"/>
      <c r="BM26" s="122"/>
      <c r="BN26" s="122"/>
      <c r="BO26" s="1012">
        <f>IF(BO25=200,ROUND(BO25*1.163*(AD30-AH30),1)/1000,ROUND((MAX(BC31:BE32)),1))</f>
        <v>14.4</v>
      </c>
      <c r="BP26" s="1013"/>
      <c r="BQ26" s="122"/>
      <c r="BR26" s="122"/>
      <c r="BS26" s="122"/>
      <c r="BT26" s="122"/>
      <c r="BU26" s="281"/>
      <c r="BV26" s="179"/>
      <c r="BW26" s="179"/>
      <c r="BX26" s="179"/>
      <c r="BY26" s="179"/>
      <c r="BZ26" s="179"/>
      <c r="CA26" s="548" t="s">
        <v>175</v>
      </c>
      <c r="CB26" s="565">
        <f>ROUNDUP(CB24/AE1/(Q18-N16)*1000/60*B10,0)</f>
        <v>153</v>
      </c>
      <c r="CC26" s="566" t="s">
        <v>94</v>
      </c>
      <c r="CD26" s="549"/>
      <c r="CE26" s="122"/>
      <c r="CF26" s="122"/>
      <c r="CG26" s="122"/>
      <c r="CH26" s="122"/>
      <c r="CI26" s="122"/>
      <c r="CJ26" s="122"/>
      <c r="CK26" s="290"/>
      <c r="CL26" s="290"/>
      <c r="CM26" s="290"/>
      <c r="CN26" s="290"/>
      <c r="CO26" s="290"/>
      <c r="CP26" s="290"/>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row>
    <row r="27" spans="1:150" s="146" customFormat="1" ht="13.5" customHeight="1" thickBot="1">
      <c r="A27" s="202"/>
      <c r="B27" s="124"/>
      <c r="C27" s="124"/>
      <c r="D27" s="124"/>
      <c r="E27" s="124"/>
      <c r="F27" s="527"/>
      <c r="G27" s="1030"/>
      <c r="H27" s="1030"/>
      <c r="I27" s="1030"/>
      <c r="J27" s="1030"/>
      <c r="K27" s="1030"/>
      <c r="L27" s="221"/>
      <c r="M27" s="221"/>
      <c r="N27" s="221"/>
      <c r="O27" s="222" t="s">
        <v>154</v>
      </c>
      <c r="P27" s="1014">
        <v>400</v>
      </c>
      <c r="Q27" s="1015"/>
      <c r="R27" s="1016" t="s">
        <v>236</v>
      </c>
      <c r="S27" s="1017"/>
      <c r="T27" s="124"/>
      <c r="U27" s="592" t="str">
        <f>"Es werden "&amp;((AC15*AQ15+AC21*AQ21))&amp;" Personen versorgt"</f>
        <v>Es werden 76 Personen versorgt</v>
      </c>
      <c r="V27" s="518"/>
      <c r="W27" s="518"/>
      <c r="X27" s="518"/>
      <c r="Y27" s="518"/>
      <c r="Z27" s="518"/>
      <c r="AA27" s="518"/>
      <c r="AB27" s="518"/>
      <c r="AC27" s="518"/>
      <c r="AD27" s="518"/>
      <c r="AE27" s="518"/>
      <c r="AF27" s="518"/>
      <c r="AG27" s="1018">
        <f>ABS(U28-G6)</f>
        <v>0</v>
      </c>
      <c r="AH27" s="1018"/>
      <c r="AI27" s="518" t="str">
        <f>IF(U27&lt;G6,"Personen Überdeckung","Personen werden nicht versorgt")</f>
        <v>Personen werden nicht versorgt</v>
      </c>
      <c r="AJ27" s="518"/>
      <c r="AK27" s="518"/>
      <c r="AL27" s="518"/>
      <c r="AM27" s="518"/>
      <c r="AN27" s="518"/>
      <c r="AO27" s="518"/>
      <c r="AP27" s="518"/>
      <c r="AQ27" s="519"/>
      <c r="AR27" s="124"/>
      <c r="AS27" s="124"/>
      <c r="AT27" s="124"/>
      <c r="AU27" s="124"/>
      <c r="AV27" s="124"/>
      <c r="AW27" s="124"/>
      <c r="AX27" s="528"/>
      <c r="AY27" s="122"/>
      <c r="AZ27" s="605"/>
      <c r="BA27" s="581"/>
      <c r="BB27" s="356"/>
      <c r="BC27" s="356"/>
      <c r="BD27" s="356"/>
      <c r="BE27" s="356"/>
      <c r="BF27" s="356"/>
      <c r="BG27" s="356"/>
      <c r="BH27" s="506" t="s">
        <v>235</v>
      </c>
      <c r="BI27" s="356"/>
      <c r="BJ27" s="582"/>
      <c r="BK27" s="542"/>
      <c r="BL27" s="607"/>
      <c r="BM27" s="122"/>
      <c r="BN27" s="122"/>
      <c r="BO27" s="276"/>
      <c r="BP27" s="247"/>
      <c r="BQ27" s="122"/>
      <c r="BR27" s="122"/>
      <c r="BS27" s="122"/>
      <c r="BT27" s="122"/>
      <c r="BU27" s="122"/>
      <c r="BV27" s="122"/>
      <c r="BW27" s="122"/>
      <c r="BX27" s="122"/>
      <c r="BY27" s="290"/>
      <c r="BZ27" s="290"/>
      <c r="CA27" s="290"/>
      <c r="CB27" s="290"/>
      <c r="CC27" s="290"/>
      <c r="CD27" s="122"/>
      <c r="CE27" s="122"/>
      <c r="CF27" s="122"/>
      <c r="CG27" s="122"/>
      <c r="CH27" s="122"/>
      <c r="CI27" s="122"/>
      <c r="CJ27" s="122"/>
      <c r="CK27" s="290"/>
      <c r="CL27" s="290"/>
      <c r="CM27" s="290"/>
      <c r="CN27" s="290"/>
      <c r="CO27" s="290"/>
      <c r="CP27" s="290"/>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45"/>
      <c r="DM27" s="145"/>
      <c r="DN27" s="145"/>
      <c r="DO27" s="145"/>
      <c r="DP27" s="145"/>
      <c r="DQ27" s="145"/>
      <c r="DR27" s="145"/>
      <c r="DS27" s="145"/>
      <c r="DT27" s="145"/>
      <c r="DU27" s="145"/>
      <c r="DV27" s="145"/>
      <c r="DW27" s="145"/>
      <c r="DX27" s="145"/>
      <c r="DY27" s="145"/>
      <c r="DZ27" s="145"/>
      <c r="EA27" s="145"/>
      <c r="EB27" s="145"/>
      <c r="EC27" s="145"/>
      <c r="ED27" s="145"/>
      <c r="EE27" s="145"/>
      <c r="EF27" s="145"/>
      <c r="EG27" s="145"/>
      <c r="EH27" s="145"/>
      <c r="EI27" s="145"/>
      <c r="EJ27" s="145"/>
      <c r="EK27" s="145"/>
      <c r="EL27" s="145"/>
      <c r="EM27" s="145"/>
      <c r="EN27" s="145"/>
      <c r="EO27" s="145"/>
      <c r="EP27" s="145"/>
      <c r="EQ27" s="145"/>
      <c r="ER27" s="145"/>
      <c r="ES27" s="145"/>
      <c r="ET27" s="145"/>
    </row>
    <row r="28" spans="1:150" s="146" customFormat="1" ht="13.5" customHeight="1" thickBot="1">
      <c r="A28" s="202"/>
      <c r="B28" s="124"/>
      <c r="C28" s="124"/>
      <c r="D28" s="124"/>
      <c r="E28" s="124"/>
      <c r="F28" s="221"/>
      <c r="G28" s="221"/>
      <c r="H28" s="221"/>
      <c r="I28" s="221"/>
      <c r="J28" s="221"/>
      <c r="K28" s="221"/>
      <c r="L28" s="222" t="str">
        <f>IF(I23="","",IF(I23&gt;I22,"Leistungsüberdeckung",IF(I23&lt;I22,"Leistungsunterdeckung","")))</f>
        <v>Leistungsunterdeckung</v>
      </c>
      <c r="M28" s="221"/>
      <c r="N28" s="221"/>
      <c r="O28" s="639" t="str">
        <f>IF(I23="","",(ABS(I22-I23))&amp;" kW)")</f>
        <v>133 kW)</v>
      </c>
      <c r="P28" s="1023">
        <f>IF(I23="","",(ABS(I22-I23))/1.163/(Q18-N16)*1000/60)</f>
        <v>38.119805101748355</v>
      </c>
      <c r="Q28" s="1023"/>
      <c r="R28" s="221" t="s">
        <v>239</v>
      </c>
      <c r="S28" s="515"/>
      <c r="T28" s="124"/>
      <c r="U28" s="593">
        <f>(AC15*AQ15+AC21*AQ21)</f>
        <v>76</v>
      </c>
      <c r="AQ28" s="227"/>
      <c r="AR28" s="124"/>
      <c r="AS28" s="124"/>
      <c r="AT28" s="124"/>
      <c r="AU28" s="124"/>
      <c r="AV28" s="124"/>
      <c r="AW28" s="124"/>
      <c r="AX28" s="528"/>
      <c r="AY28" s="122"/>
      <c r="AZ28" s="605"/>
      <c r="BA28" s="581"/>
      <c r="BB28" s="577" t="s">
        <v>127</v>
      </c>
      <c r="BC28" s="1024">
        <f>AM9</f>
        <v>70</v>
      </c>
      <c r="BD28" s="1024"/>
      <c r="BE28" s="578" t="s">
        <v>124</v>
      </c>
      <c r="BF28" s="1024">
        <f>AP9</f>
        <v>30</v>
      </c>
      <c r="BG28" s="1024"/>
      <c r="BH28" s="215"/>
      <c r="BI28" s="215"/>
      <c r="BJ28" s="597"/>
      <c r="BK28" s="542"/>
      <c r="BL28" s="607"/>
      <c r="BM28" s="290"/>
      <c r="BN28" s="122"/>
      <c r="BO28" s="122"/>
      <c r="BP28" s="122"/>
      <c r="BQ28" s="122"/>
      <c r="BR28" s="122"/>
      <c r="BS28" s="122"/>
      <c r="BT28" s="122"/>
      <c r="BU28" s="248" t="s">
        <v>116</v>
      </c>
      <c r="BV28" s="249"/>
      <c r="BW28" s="126"/>
      <c r="BX28" s="250">
        <v>1</v>
      </c>
      <c r="BY28" s="122" t="s">
        <v>246</v>
      </c>
      <c r="BZ28" s="290"/>
      <c r="CA28" s="290"/>
      <c r="CB28" s="290"/>
      <c r="CC28" s="290"/>
      <c r="CD28" s="122"/>
      <c r="CE28" s="122"/>
      <c r="CF28" s="122"/>
      <c r="CG28" s="122"/>
      <c r="CH28" s="122"/>
      <c r="CI28" s="122"/>
      <c r="CJ28" s="122"/>
      <c r="CK28" s="290"/>
      <c r="CL28" s="290"/>
      <c r="CM28" s="290"/>
      <c r="CN28" s="290"/>
      <c r="CO28" s="290"/>
      <c r="CP28" s="290"/>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45"/>
      <c r="DM28" s="145"/>
      <c r="DN28" s="145"/>
      <c r="DO28" s="145"/>
      <c r="DP28" s="145"/>
      <c r="DQ28" s="145"/>
      <c r="DR28" s="145"/>
      <c r="DS28" s="145"/>
      <c r="DT28" s="145"/>
      <c r="DU28" s="145"/>
      <c r="DV28" s="145"/>
      <c r="DW28" s="145"/>
      <c r="DX28" s="145"/>
      <c r="DY28" s="145"/>
      <c r="DZ28" s="145"/>
      <c r="EA28" s="145"/>
      <c r="EB28" s="145"/>
      <c r="EC28" s="145"/>
      <c r="ED28" s="145"/>
      <c r="EE28" s="145"/>
      <c r="EF28" s="145"/>
      <c r="EG28" s="145"/>
      <c r="EH28" s="145"/>
      <c r="EI28" s="145"/>
      <c r="EJ28" s="145"/>
      <c r="EK28" s="145"/>
      <c r="EL28" s="145"/>
      <c r="EM28" s="145"/>
      <c r="EN28" s="145"/>
      <c r="EO28" s="145"/>
      <c r="EP28" s="145"/>
      <c r="EQ28" s="145"/>
      <c r="ER28" s="145"/>
      <c r="ES28" s="145"/>
      <c r="ET28" s="145"/>
    </row>
    <row r="29" spans="1:150" s="146" customFormat="1" ht="13.5" customHeight="1" thickBot="1">
      <c r="A29" s="202"/>
      <c r="B29" s="124"/>
      <c r="C29" s="124"/>
      <c r="D29" s="124"/>
      <c r="E29" s="124"/>
      <c r="F29" s="642"/>
      <c r="G29" s="642"/>
      <c r="H29" s="642"/>
      <c r="I29" s="642"/>
      <c r="J29" s="642"/>
      <c r="K29" s="642"/>
      <c r="L29" s="642"/>
      <c r="M29" s="642"/>
      <c r="N29" s="642"/>
      <c r="O29" s="650" t="s">
        <v>224</v>
      </c>
      <c r="P29" s="1025">
        <f>IF(P28="","",P27/P28)</f>
        <v>10.493233082706766</v>
      </c>
      <c r="Q29" s="1026"/>
      <c r="R29" s="642" t="s">
        <v>93</v>
      </c>
      <c r="S29" s="651"/>
      <c r="T29" s="124"/>
      <c r="U29" s="903" t="s">
        <v>163</v>
      </c>
      <c r="V29" s="904"/>
      <c r="W29" s="217" t="s">
        <v>137</v>
      </c>
      <c r="X29" s="218"/>
      <c r="Y29" s="218"/>
      <c r="Z29" s="218"/>
      <c r="AA29" s="218"/>
      <c r="AB29" s="218"/>
      <c r="AC29" s="218"/>
      <c r="AD29" s="218"/>
      <c r="AE29" s="218"/>
      <c r="AF29" s="218"/>
      <c r="AG29" s="218"/>
      <c r="AH29" s="218"/>
      <c r="AI29" s="218"/>
      <c r="AJ29" s="218"/>
      <c r="AK29" s="218"/>
      <c r="AL29" s="218"/>
      <c r="AM29" s="218"/>
      <c r="AN29" s="218"/>
      <c r="AO29" s="218"/>
      <c r="AP29" s="218"/>
      <c r="AQ29" s="219"/>
      <c r="AR29" s="124"/>
      <c r="AS29" s="124"/>
      <c r="AT29" s="124"/>
      <c r="AU29" s="124"/>
      <c r="AV29" s="124"/>
      <c r="AW29" s="124"/>
      <c r="AX29" s="528"/>
      <c r="AY29" s="122"/>
      <c r="AZ29" s="605"/>
      <c r="BA29" s="581"/>
      <c r="BB29" s="583"/>
      <c r="BC29" s="584"/>
      <c r="BD29" s="584"/>
      <c r="BE29" s="584"/>
      <c r="BF29" s="584"/>
      <c r="BG29" s="584"/>
      <c r="BH29" s="506" t="s">
        <v>234</v>
      </c>
      <c r="BI29" s="1027">
        <f>AH34</f>
        <v>5</v>
      </c>
      <c r="BJ29" s="1028"/>
      <c r="BK29" s="542"/>
      <c r="BL29" s="607"/>
      <c r="BM29" s="290"/>
      <c r="BN29" s="290"/>
      <c r="BO29" s="258"/>
      <c r="BP29" s="259"/>
      <c r="BQ29" s="122"/>
      <c r="BR29" s="122"/>
      <c r="BS29" s="122"/>
      <c r="BT29" s="122"/>
      <c r="BU29" s="245"/>
      <c r="BV29" s="260"/>
      <c r="BW29" s="120"/>
      <c r="BX29" s="261"/>
      <c r="BY29" s="122"/>
      <c r="BZ29" s="122"/>
      <c r="CA29" s="122"/>
      <c r="CB29" s="122"/>
      <c r="CC29" s="122"/>
      <c r="CD29" s="122"/>
      <c r="CE29" s="122"/>
      <c r="CF29" s="122"/>
      <c r="CG29" s="122"/>
      <c r="CH29" s="122"/>
      <c r="CI29" s="122"/>
      <c r="CJ29" s="122"/>
      <c r="CK29" s="290"/>
      <c r="CL29" s="290"/>
      <c r="CM29" s="290"/>
      <c r="CN29" s="290"/>
      <c r="CO29" s="290"/>
      <c r="CP29" s="290"/>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row>
    <row r="30" spans="1:150" s="146" customFormat="1" ht="13.5" customHeight="1" thickBot="1">
      <c r="A30" s="211"/>
      <c r="B30" s="212"/>
      <c r="C30" s="212"/>
      <c r="D30" s="1034" t="str">
        <f>IF(A10=0,"",IF(CB22&lt;R18,"Unterdeckung","Ausreichender Speicher, Überdeckung"))</f>
        <v>Ausreichender Speicher, Überdeckung</v>
      </c>
      <c r="E30" s="1034"/>
      <c r="F30" s="1034"/>
      <c r="G30" s="1034"/>
      <c r="H30" s="1034"/>
      <c r="I30" s="1034"/>
      <c r="J30" s="1034"/>
      <c r="K30" s="1034"/>
      <c r="L30" s="1034"/>
      <c r="M30" s="1034"/>
      <c r="N30" s="1034"/>
      <c r="O30" s="1034"/>
      <c r="P30" s="1035">
        <f>IF(OR(A10=0,P29=""),"",ABS(R18-CB22))</f>
        <v>1.698595586127567</v>
      </c>
      <c r="Q30" s="1036"/>
      <c r="R30" s="1037" t="s">
        <v>236</v>
      </c>
      <c r="S30" s="1038"/>
      <c r="T30" s="124"/>
      <c r="U30" s="202"/>
      <c r="V30" s="124" t="s">
        <v>225</v>
      </c>
      <c r="W30" s="124"/>
      <c r="X30" s="124"/>
      <c r="Y30" s="124"/>
      <c r="Z30" s="124"/>
      <c r="AA30" s="124"/>
      <c r="AB30" s="124"/>
      <c r="AC30" s="372" t="s">
        <v>133</v>
      </c>
      <c r="AD30" s="229">
        <f>AM9</f>
        <v>70</v>
      </c>
      <c r="AE30" s="230" t="s">
        <v>14</v>
      </c>
      <c r="AF30" s="124"/>
      <c r="AG30" s="594" t="s">
        <v>242</v>
      </c>
      <c r="AH30" s="231">
        <f>C10</f>
        <v>38</v>
      </c>
      <c r="AI30" s="230" t="s">
        <v>14</v>
      </c>
      <c r="AJ30" s="232"/>
      <c r="AK30" s="124"/>
      <c r="AL30" s="124"/>
      <c r="AM30" s="124"/>
      <c r="AN30" s="124"/>
      <c r="AO30" s="232"/>
      <c r="AP30" s="232"/>
      <c r="AQ30" s="233"/>
      <c r="AR30" s="124"/>
      <c r="AS30" s="124"/>
      <c r="AT30" s="124"/>
      <c r="AU30" s="124"/>
      <c r="AV30" s="124"/>
      <c r="AW30" s="124"/>
      <c r="AX30" s="528"/>
      <c r="AY30" s="122"/>
      <c r="AZ30" s="605"/>
      <c r="BA30" s="581"/>
      <c r="BB30" s="581"/>
      <c r="BC30" s="220"/>
      <c r="BD30" s="220"/>
      <c r="BE30" s="220"/>
      <c r="BF30" s="220"/>
      <c r="BG30" s="220"/>
      <c r="BH30" s="1039">
        <f>V34/60*AH34</f>
        <v>0.26279019776440243</v>
      </c>
      <c r="BI30" s="1039"/>
      <c r="BJ30" s="1040"/>
      <c r="BK30" s="544"/>
      <c r="BL30" s="608"/>
      <c r="BM30" s="290"/>
      <c r="BN30" s="290"/>
      <c r="BO30" s="1041">
        <f>AA17*AQ15</f>
        <v>263</v>
      </c>
      <c r="BP30" s="1042"/>
      <c r="BQ30" s="122"/>
      <c r="BR30" s="122"/>
      <c r="BS30" s="122"/>
      <c r="BT30" s="122"/>
      <c r="BU30" s="245" t="s">
        <v>134</v>
      </c>
      <c r="BV30" s="260"/>
      <c r="BW30" s="120"/>
      <c r="BX30" s="261">
        <v>2</v>
      </c>
      <c r="BY30" s="122" t="s">
        <v>247</v>
      </c>
      <c r="BZ30" s="122"/>
      <c r="CA30" s="122"/>
      <c r="CB30" s="122"/>
      <c r="CC30" s="122"/>
      <c r="CD30" s="122"/>
      <c r="CE30" s="122"/>
      <c r="CF30" s="122"/>
      <c r="CG30" s="122"/>
      <c r="CH30" s="122"/>
      <c r="CI30" s="122"/>
      <c r="CJ30" s="122"/>
      <c r="CK30" s="290"/>
      <c r="CL30" s="290"/>
      <c r="CM30" s="290"/>
      <c r="CN30" s="290"/>
      <c r="CO30" s="290"/>
      <c r="CP30" s="290"/>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row>
    <row r="31" spans="1:150" s="146" customFormat="1" ht="13.5" customHeight="1" thickBot="1">
      <c r="A31" s="567"/>
      <c r="T31" s="124"/>
      <c r="U31" s="202"/>
      <c r="V31" s="124"/>
      <c r="W31" s="124"/>
      <c r="X31" s="124"/>
      <c r="Y31" s="124"/>
      <c r="Z31" s="124"/>
      <c r="AA31" s="124"/>
      <c r="AB31" s="124"/>
      <c r="AC31" s="124"/>
      <c r="AD31" s="124"/>
      <c r="AE31" s="124"/>
      <c r="AF31" s="124"/>
      <c r="AG31" s="124"/>
      <c r="AH31" s="124"/>
      <c r="AI31" s="124"/>
      <c r="AJ31" s="124"/>
      <c r="AK31" s="124"/>
      <c r="AL31" s="372" t="str">
        <f>"erforderliche Wärmearbeit im Nutzungszeitraum von "&amp;D18&amp;" Minuten"</f>
        <v>erforderliche Wärmearbeit im Nutzungszeitraum von 35 Minuten</v>
      </c>
      <c r="AM31" s="1043">
        <f>IF(A10=0,"",R18/1000*1.163*(Q18-N16))</f>
        <v>98.994560000000007</v>
      </c>
      <c r="AN31" s="1043"/>
      <c r="AO31" s="124" t="s">
        <v>57</v>
      </c>
      <c r="AP31" s="124"/>
      <c r="AQ31" s="207"/>
      <c r="AR31" s="202"/>
      <c r="AS31" s="124"/>
      <c r="AT31" s="124"/>
      <c r="AU31" s="124"/>
      <c r="AV31" s="124"/>
      <c r="AW31" s="124"/>
      <c r="AX31" s="528"/>
      <c r="AY31" s="122"/>
      <c r="AZ31" s="605"/>
      <c r="BA31" s="539"/>
      <c r="BB31" s="585"/>
      <c r="BC31" s="1044">
        <f>BH31*1.163*(AD30-AH30)/1000</f>
        <v>9.7799999999999994</v>
      </c>
      <c r="BD31" s="1044"/>
      <c r="BE31" s="1044"/>
      <c r="BF31" s="208"/>
      <c r="BG31" s="208"/>
      <c r="BH31" s="1045">
        <f>BH30*1000</f>
        <v>262.79019776440242</v>
      </c>
      <c r="BI31" s="1045"/>
      <c r="BJ31" s="1046"/>
      <c r="BK31" s="544"/>
      <c r="BL31" s="608"/>
      <c r="BM31" s="122"/>
      <c r="BN31" s="122"/>
      <c r="BO31" s="1041">
        <f>AA23*AQ21</f>
        <v>60</v>
      </c>
      <c r="BP31" s="1042"/>
      <c r="BQ31" s="122"/>
      <c r="BR31" s="122"/>
      <c r="BS31" s="122"/>
      <c r="BT31" s="122"/>
      <c r="BU31" s="245" t="s">
        <v>135</v>
      </c>
      <c r="BV31" s="260"/>
      <c r="BW31" s="120"/>
      <c r="BX31" s="261">
        <v>3</v>
      </c>
      <c r="BY31" s="122" t="s">
        <v>247</v>
      </c>
      <c r="BZ31" s="122"/>
      <c r="CA31" s="122"/>
      <c r="CB31" s="122"/>
      <c r="CC31" s="122"/>
      <c r="CD31" s="122"/>
      <c r="CE31" s="122"/>
      <c r="CF31" s="122"/>
      <c r="CG31" s="290"/>
      <c r="CH31" s="290"/>
      <c r="CI31" s="290"/>
      <c r="CJ31" s="290"/>
      <c r="CK31" s="290"/>
      <c r="CL31" s="290"/>
      <c r="CM31" s="290"/>
      <c r="CN31" s="290"/>
      <c r="CO31" s="290"/>
      <c r="CP31" s="290"/>
      <c r="CQ31" s="122"/>
      <c r="CR31" s="122"/>
      <c r="CS31" s="122"/>
      <c r="CT31" s="122"/>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row>
    <row r="32" spans="1:150" s="146" customFormat="1" ht="13.5" customHeight="1">
      <c r="A32" s="223" t="s">
        <v>179</v>
      </c>
      <c r="B32" s="214"/>
      <c r="C32" s="214"/>
      <c r="D32" s="214"/>
      <c r="E32" s="214"/>
      <c r="F32" s="214"/>
      <c r="G32" s="214"/>
      <c r="H32" s="214"/>
      <c r="I32" s="214"/>
      <c r="J32" s="214"/>
      <c r="K32" s="214"/>
      <c r="L32" s="214"/>
      <c r="M32" s="214"/>
      <c r="N32" s="214"/>
      <c r="O32" s="214"/>
      <c r="P32" s="214"/>
      <c r="Q32" s="214"/>
      <c r="R32" s="214"/>
      <c r="S32" s="225"/>
      <c r="T32" s="356"/>
      <c r="U32" s="202"/>
      <c r="V32" s="124"/>
      <c r="W32" s="124"/>
      <c r="X32" s="124"/>
      <c r="Y32" s="124"/>
      <c r="Z32" s="124"/>
      <c r="AA32" s="124"/>
      <c r="AB32" s="124"/>
      <c r="AC32" s="124"/>
      <c r="AD32" s="124"/>
      <c r="AE32" s="124"/>
      <c r="AF32" s="124"/>
      <c r="AG32" s="124"/>
      <c r="AH32" s="124"/>
      <c r="AI32" s="124"/>
      <c r="AJ32" s="124"/>
      <c r="AK32" s="124"/>
      <c r="AL32" s="372" t="str">
        <f>"Nachladekapazität aus der möglichen Leistung von  "&amp;AD11&amp;" kW = "</f>
        <v xml:space="preserve">Nachladekapazität aus der möglichen Leistung von  145 kW = </v>
      </c>
      <c r="AM32" s="1047">
        <f>IF(A10=0,"",AD11/60*D18)</f>
        <v>84.583333333333329</v>
      </c>
      <c r="AN32" s="1047"/>
      <c r="AO32" s="234" t="s">
        <v>57</v>
      </c>
      <c r="AP32" s="234"/>
      <c r="AQ32" s="235"/>
      <c r="AR32" s="202"/>
      <c r="AS32" s="124"/>
      <c r="AT32" s="124"/>
      <c r="AU32" s="124"/>
      <c r="AV32" s="124"/>
      <c r="AW32" s="124"/>
      <c r="AX32" s="528"/>
      <c r="AY32" s="122"/>
      <c r="AZ32" s="605"/>
      <c r="BA32" s="545"/>
      <c r="BB32" s="579"/>
      <c r="BC32" s="1048">
        <f>IF(A10=0,"",AM31-AM32)</f>
        <v>14.411226666666678</v>
      </c>
      <c r="BD32" s="1048"/>
      <c r="BE32" s="1048"/>
      <c r="BF32" s="580"/>
      <c r="BG32" s="580"/>
      <c r="BH32" s="1049">
        <f>IF(A10=0,"",BC32/1.163/(AD30-AH30)*1000)</f>
        <v>387.23201490398424</v>
      </c>
      <c r="BI32" s="1049"/>
      <c r="BJ32" s="1050"/>
      <c r="BK32" s="544"/>
      <c r="BL32" s="608"/>
      <c r="BM32" s="122"/>
      <c r="BN32" s="122"/>
      <c r="BO32" s="1041">
        <f>I22</f>
        <v>263</v>
      </c>
      <c r="BP32" s="1042"/>
      <c r="BQ32" s="122"/>
      <c r="BR32" s="122"/>
      <c r="BS32" s="122"/>
      <c r="BT32" s="122"/>
      <c r="BU32" s="245" t="s">
        <v>136</v>
      </c>
      <c r="BV32" s="260"/>
      <c r="BW32" s="120"/>
      <c r="BX32" s="261">
        <v>4</v>
      </c>
      <c r="BY32" s="122" t="s">
        <v>247</v>
      </c>
      <c r="BZ32" s="122"/>
      <c r="CA32" s="122"/>
      <c r="CB32" s="122"/>
      <c r="CC32" s="122"/>
      <c r="CD32" s="122"/>
      <c r="CE32" s="122"/>
      <c r="CF32" s="122"/>
      <c r="CG32" s="290"/>
      <c r="CH32" s="290"/>
      <c r="CI32" s="290"/>
      <c r="CJ32" s="290"/>
      <c r="CK32" s="290"/>
      <c r="CL32" s="290"/>
      <c r="CM32" s="290"/>
      <c r="CN32" s="290"/>
      <c r="CO32" s="290"/>
      <c r="CP32" s="290"/>
      <c r="CQ32" s="122"/>
      <c r="CR32" s="122"/>
      <c r="CS32" s="122"/>
      <c r="CT32" s="122"/>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row>
    <row r="33" spans="1:150" s="146" customFormat="1" ht="13.5" customHeight="1" thickBot="1">
      <c r="A33" s="1051" t="s">
        <v>249</v>
      </c>
      <c r="B33" s="1052"/>
      <c r="C33" s="1052"/>
      <c r="D33" s="1052"/>
      <c r="E33" s="1052"/>
      <c r="F33" s="1052"/>
      <c r="G33" s="1052"/>
      <c r="H33" s="1052"/>
      <c r="I33" s="1052"/>
      <c r="J33" s="1052"/>
      <c r="K33" s="1052"/>
      <c r="L33" s="1052"/>
      <c r="M33" s="1052"/>
      <c r="N33" s="1052"/>
      <c r="O33" s="1052"/>
      <c r="P33" s="1052"/>
      <c r="Q33" s="1052"/>
      <c r="R33" s="1052"/>
      <c r="S33" s="1053"/>
      <c r="T33" s="356"/>
      <c r="U33" s="202"/>
      <c r="AG33" s="595" t="str">
        <f>IF(AC15+AC21=0,"","WT-Heizwasserdurchsatz bei Vollast (")</f>
        <v>WT-Heizwasserdurchsatz bei Vollast (</v>
      </c>
      <c r="AH33" s="1057">
        <v>263</v>
      </c>
      <c r="AI33" s="1057"/>
      <c r="AJ33" s="1057"/>
      <c r="AK33" s="1058">
        <f>IF(AC15+AC21=0,"",AH33/1.163/(AM9-AP9))</f>
        <v>5.653482373172829</v>
      </c>
      <c r="AL33" s="1058"/>
      <c r="AM33" s="1058"/>
      <c r="AN33" s="1058"/>
      <c r="AR33" s="202"/>
      <c r="AS33" s="124"/>
      <c r="AT33" s="124"/>
      <c r="AU33" s="124"/>
      <c r="AV33" s="124"/>
      <c r="AW33" s="124"/>
      <c r="AX33" s="528"/>
      <c r="AY33" s="122"/>
      <c r="AZ33" s="605"/>
      <c r="BA33" s="1059">
        <f>AA17</f>
        <v>263</v>
      </c>
      <c r="BB33" s="1060"/>
      <c r="BC33" s="1061"/>
      <c r="BD33" s="124"/>
      <c r="BE33" s="124"/>
      <c r="BF33" s="124"/>
      <c r="BG33" s="124"/>
      <c r="BH33" s="1062"/>
      <c r="BI33" s="1062"/>
      <c r="BJ33" s="1062"/>
      <c r="BK33" s="542"/>
      <c r="BL33" s="607"/>
      <c r="BM33" s="122"/>
      <c r="BN33" s="122"/>
      <c r="BO33" s="1041">
        <f>AD11</f>
        <v>145</v>
      </c>
      <c r="BP33" s="1042"/>
      <c r="BQ33" s="122"/>
      <c r="BR33" s="122"/>
      <c r="BS33" s="122"/>
      <c r="BT33" s="122"/>
      <c r="BU33" s="281"/>
      <c r="BV33" s="282"/>
      <c r="BW33" s="132"/>
      <c r="BX33" s="283"/>
      <c r="BY33" s="122"/>
      <c r="BZ33" s="122"/>
      <c r="CA33" s="122"/>
      <c r="CB33" s="122"/>
      <c r="CC33" s="122"/>
      <c r="CD33" s="122"/>
      <c r="CE33" s="122"/>
      <c r="CF33" s="122"/>
      <c r="CG33" s="290"/>
      <c r="CH33" s="290"/>
      <c r="CI33" s="290"/>
      <c r="CJ33" s="290"/>
      <c r="CK33" s="290"/>
      <c r="CL33" s="290"/>
      <c r="CM33" s="290"/>
      <c r="CN33" s="290"/>
      <c r="CO33" s="290"/>
      <c r="CP33" s="290"/>
      <c r="CQ33" s="122"/>
      <c r="CR33" s="122"/>
      <c r="CS33" s="122"/>
      <c r="CT33" s="122"/>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row>
    <row r="34" spans="1:150" s="146" customFormat="1" ht="13.5" customHeight="1">
      <c r="A34" s="1051"/>
      <c r="B34" s="1052"/>
      <c r="C34" s="1052"/>
      <c r="D34" s="1052"/>
      <c r="E34" s="1052"/>
      <c r="F34" s="1052"/>
      <c r="G34" s="1052"/>
      <c r="H34" s="1052"/>
      <c r="I34" s="1052"/>
      <c r="J34" s="1052"/>
      <c r="K34" s="1052"/>
      <c r="L34" s="1052"/>
      <c r="M34" s="1052"/>
      <c r="N34" s="1052"/>
      <c r="O34" s="1052"/>
      <c r="P34" s="1052"/>
      <c r="Q34" s="1052"/>
      <c r="R34" s="1052"/>
      <c r="S34" s="1053"/>
      <c r="T34" s="356"/>
      <c r="U34" s="202"/>
      <c r="V34" s="1063">
        <f>IF(AC15+AC21=0,"",ABS(AK33-AD10))</f>
        <v>3.153482373172829</v>
      </c>
      <c r="W34" s="1063"/>
      <c r="X34" s="1063"/>
      <c r="Y34" s="1063"/>
      <c r="Z34" s="1063"/>
      <c r="AA34" s="1063"/>
      <c r="AB34" s="1063"/>
      <c r="AC34" s="1063"/>
      <c r="AD34" s="1063"/>
      <c r="AE34" s="1063"/>
      <c r="AF34" s="1063"/>
      <c r="AG34" s="1063"/>
      <c r="AH34" s="1064">
        <v>5</v>
      </c>
      <c r="AI34" s="1064"/>
      <c r="AJ34" s="1064"/>
      <c r="AR34" s="202"/>
      <c r="AS34" s="124"/>
      <c r="AT34" s="124"/>
      <c r="AU34" s="124"/>
      <c r="AV34" s="124"/>
      <c r="AW34" s="124"/>
      <c r="AX34" s="528"/>
      <c r="AY34" s="122"/>
      <c r="AZ34" s="605"/>
      <c r="BA34" s="1065" t="str">
        <f>IF(AQ15&gt;1,AA17*AQ15,"")</f>
        <v/>
      </c>
      <c r="BB34" s="1066"/>
      <c r="BC34" s="1067"/>
      <c r="BD34" s="124"/>
      <c r="BE34" s="124"/>
      <c r="BF34" s="124"/>
      <c r="BG34" s="124"/>
      <c r="BH34" s="124"/>
      <c r="BI34" s="124"/>
      <c r="BJ34" s="124"/>
      <c r="BK34" s="542"/>
      <c r="BL34" s="607"/>
      <c r="BM34" s="122"/>
      <c r="BN34" s="122"/>
      <c r="BO34" s="1041">
        <f>BO30+BO31</f>
        <v>323</v>
      </c>
      <c r="BP34" s="1042"/>
      <c r="BQ34" s="122"/>
      <c r="BR34" s="122"/>
      <c r="BS34" s="122"/>
      <c r="BT34" s="122"/>
      <c r="BU34" s="122"/>
      <c r="BV34" s="122"/>
      <c r="BW34" s="122"/>
      <c r="BX34" s="122"/>
      <c r="BY34" s="122"/>
      <c r="BZ34" s="122"/>
      <c r="CA34" s="122"/>
      <c r="CB34" s="122"/>
      <c r="CC34" s="122"/>
      <c r="CD34" s="122"/>
      <c r="CE34" s="122"/>
      <c r="CF34" s="122"/>
      <c r="CG34" s="290"/>
      <c r="CH34" s="290"/>
      <c r="CI34" s="290"/>
      <c r="CJ34" s="290"/>
      <c r="CK34" s="290"/>
      <c r="CL34" s="290"/>
      <c r="CM34" s="290"/>
      <c r="CN34" s="290"/>
      <c r="CO34" s="290"/>
      <c r="CP34" s="290"/>
      <c r="CQ34" s="122"/>
      <c r="CR34" s="122"/>
      <c r="CS34" s="122"/>
      <c r="CT34" s="122"/>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row>
    <row r="35" spans="1:150" s="146" customFormat="1" ht="13.5" customHeight="1" thickBot="1">
      <c r="A35" s="1051"/>
      <c r="B35" s="1052"/>
      <c r="C35" s="1052"/>
      <c r="D35" s="1052"/>
      <c r="E35" s="1052"/>
      <c r="F35" s="1052"/>
      <c r="G35" s="1052"/>
      <c r="H35" s="1052"/>
      <c r="I35" s="1052"/>
      <c r="J35" s="1052"/>
      <c r="K35" s="1052"/>
      <c r="L35" s="1052"/>
      <c r="M35" s="1052"/>
      <c r="N35" s="1052"/>
      <c r="O35" s="1052"/>
      <c r="P35" s="1052"/>
      <c r="Q35" s="1052"/>
      <c r="R35" s="1052"/>
      <c r="S35" s="1053"/>
      <c r="T35" s="124"/>
      <c r="U35" s="1068" t="s">
        <v>184</v>
      </c>
      <c r="V35" s="1069"/>
      <c r="W35" s="1069"/>
      <c r="X35" s="1069"/>
      <c r="Y35" s="1069"/>
      <c r="Z35" s="226" t="str">
        <f>"erforderlich "&amp;BO25&amp;" L, entspricht Kapazität  "&amp;BO26&amp;" kWh"</f>
        <v>erforderlich 387 L, entspricht Kapazität  14,4 kWh</v>
      </c>
      <c r="AA35" s="636"/>
      <c r="AB35" s="226"/>
      <c r="AC35" s="637"/>
      <c r="AD35" s="234"/>
      <c r="AE35" s="234"/>
      <c r="AF35" s="226"/>
      <c r="AG35" s="226"/>
      <c r="AH35" s="226"/>
      <c r="AI35" s="637"/>
      <c r="AJ35" s="234"/>
      <c r="AK35" s="234"/>
      <c r="AL35" s="226"/>
      <c r="AM35" s="598"/>
      <c r="AN35" s="600"/>
      <c r="AO35" s="224"/>
      <c r="AP35" s="224"/>
      <c r="AQ35" s="599"/>
      <c r="AR35" s="652"/>
      <c r="AS35" s="124"/>
      <c r="AT35" s="124"/>
      <c r="AU35" s="124"/>
      <c r="AV35" s="124"/>
      <c r="AW35" s="124"/>
      <c r="AX35" s="528"/>
      <c r="AY35" s="122"/>
      <c r="AZ35" s="605"/>
      <c r="BA35" s="1065" t="str">
        <f>IF(AQ16&gt;1,AA18*AQ16,"")</f>
        <v/>
      </c>
      <c r="BB35" s="1066"/>
      <c r="BC35" s="1067"/>
      <c r="BD35" s="542"/>
      <c r="BE35" s="542"/>
      <c r="BF35" s="542"/>
      <c r="BG35" s="542"/>
      <c r="BH35" s="765"/>
      <c r="BI35" s="765"/>
      <c r="BJ35" s="765"/>
      <c r="BK35" s="542"/>
      <c r="BL35" s="607"/>
      <c r="BM35" s="122"/>
      <c r="BN35" s="122"/>
      <c r="BO35" s="1072"/>
      <c r="BP35" s="1073"/>
      <c r="BQ35" s="122"/>
      <c r="BR35" s="122"/>
      <c r="BS35" s="122"/>
      <c r="BT35" s="122"/>
      <c r="BU35" s="122"/>
      <c r="BV35" s="122"/>
      <c r="BW35" s="122"/>
      <c r="BX35" s="122"/>
      <c r="BY35" s="122"/>
      <c r="BZ35" s="122"/>
      <c r="CA35" s="122"/>
      <c r="CB35" s="122"/>
      <c r="CC35" s="122"/>
      <c r="CD35" s="122"/>
      <c r="CE35" s="122"/>
      <c r="CF35" s="122"/>
      <c r="CG35" s="290"/>
      <c r="CH35" s="290"/>
      <c r="CI35" s="290"/>
      <c r="CJ35" s="290"/>
      <c r="CK35" s="290"/>
      <c r="CL35" s="290"/>
      <c r="CM35" s="290"/>
      <c r="CN35" s="290"/>
      <c r="CO35" s="290"/>
      <c r="CP35" s="290"/>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c r="EA35" s="145"/>
      <c r="EB35" s="145"/>
      <c r="EC35" s="145"/>
      <c r="ED35" s="145"/>
      <c r="EE35" s="145"/>
      <c r="EF35" s="145"/>
      <c r="EG35" s="145"/>
      <c r="EH35" s="145"/>
      <c r="EI35" s="145"/>
      <c r="EJ35" s="145"/>
      <c r="EK35" s="145"/>
      <c r="EL35" s="145"/>
      <c r="EM35" s="145"/>
      <c r="EN35" s="145"/>
      <c r="EO35" s="145"/>
      <c r="EP35" s="145"/>
      <c r="EQ35" s="145"/>
      <c r="ER35" s="145"/>
      <c r="ES35" s="145"/>
      <c r="ET35" s="145"/>
    </row>
    <row r="36" spans="1:150" s="146" customFormat="1" ht="13.5" customHeight="1" thickBot="1">
      <c r="A36" s="1051"/>
      <c r="B36" s="1052"/>
      <c r="C36" s="1052"/>
      <c r="D36" s="1052"/>
      <c r="E36" s="1052"/>
      <c r="F36" s="1052"/>
      <c r="G36" s="1052"/>
      <c r="H36" s="1052"/>
      <c r="I36" s="1052"/>
      <c r="J36" s="1052"/>
      <c r="K36" s="1052"/>
      <c r="L36" s="1052"/>
      <c r="M36" s="1052"/>
      <c r="N36" s="1052"/>
      <c r="O36" s="1052"/>
      <c r="P36" s="1052"/>
      <c r="Q36" s="1052"/>
      <c r="R36" s="1052"/>
      <c r="S36" s="1053"/>
      <c r="T36" s="202"/>
      <c r="U36" s="1070"/>
      <c r="V36" s="1071"/>
      <c r="W36" s="1071"/>
      <c r="X36" s="1071"/>
      <c r="Y36" s="1071"/>
      <c r="Z36" s="209"/>
      <c r="AA36" s="209"/>
      <c r="AB36" s="209"/>
      <c r="AC36" s="638" t="s">
        <v>138</v>
      </c>
      <c r="AD36" s="1074">
        <v>400</v>
      </c>
      <c r="AE36" s="1075"/>
      <c r="AF36" s="209" t="s">
        <v>244</v>
      </c>
      <c r="AG36" s="209"/>
      <c r="AH36" s="209"/>
      <c r="AI36" s="209"/>
      <c r="AJ36" s="209"/>
      <c r="AK36" s="209"/>
      <c r="AL36" s="638" t="s">
        <v>182</v>
      </c>
      <c r="AM36" s="1076">
        <f>IF(A10=0,"",AD36/1000*1.163*(AD30-AH30))</f>
        <v>14.886400000000002</v>
      </c>
      <c r="AN36" s="1077"/>
      <c r="AO36" s="59" t="s">
        <v>57</v>
      </c>
      <c r="AP36" s="59"/>
      <c r="AQ36" s="235"/>
      <c r="AR36" s="203"/>
      <c r="AS36" s="124"/>
      <c r="AT36" s="124"/>
      <c r="AU36" s="124"/>
      <c r="AV36" s="124"/>
      <c r="AW36" s="124"/>
      <c r="AX36" s="528"/>
      <c r="AY36" s="122"/>
      <c r="AZ36" s="605"/>
      <c r="BA36" s="1065" t="str">
        <f>IF(AC21&gt;0,AA17+AA23,"")</f>
        <v/>
      </c>
      <c r="BB36" s="1066"/>
      <c r="BC36" s="1067"/>
      <c r="BD36" s="542"/>
      <c r="BE36" s="542"/>
      <c r="BF36" s="542"/>
      <c r="BG36" s="542"/>
      <c r="BH36" s="765"/>
      <c r="BI36" s="765"/>
      <c r="BJ36" s="765"/>
      <c r="BK36" s="542"/>
      <c r="BL36" s="607"/>
      <c r="BM36" s="122"/>
      <c r="BN36" s="122"/>
      <c r="BO36" s="122"/>
      <c r="BP36" s="122"/>
      <c r="BQ36" s="122"/>
      <c r="BR36" s="122"/>
      <c r="BS36" s="122"/>
      <c r="BT36" s="122"/>
      <c r="BU36" s="122"/>
      <c r="BV36" s="122"/>
      <c r="BW36" s="122"/>
      <c r="BX36" s="122"/>
      <c r="BY36" s="122"/>
      <c r="BZ36" s="122"/>
      <c r="CA36" s="122"/>
      <c r="CB36" s="122"/>
      <c r="CC36" s="122"/>
      <c r="CD36" s="122"/>
      <c r="CE36" s="122"/>
      <c r="CF36" s="122"/>
      <c r="CG36" s="290"/>
      <c r="CH36" s="290"/>
      <c r="CI36" s="290"/>
      <c r="CJ36" s="290"/>
      <c r="CK36" s="290"/>
      <c r="CL36" s="290"/>
      <c r="CM36" s="290"/>
      <c r="CN36" s="290"/>
      <c r="CO36" s="290"/>
      <c r="CP36" s="290"/>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row>
    <row r="37" spans="1:150" s="146" customFormat="1" ht="13.5" customHeight="1" thickTop="1" thickBot="1">
      <c r="A37" s="1054"/>
      <c r="B37" s="1055"/>
      <c r="C37" s="1055"/>
      <c r="D37" s="1055"/>
      <c r="E37" s="1055"/>
      <c r="F37" s="1055"/>
      <c r="G37" s="1055"/>
      <c r="H37" s="1055"/>
      <c r="I37" s="1055"/>
      <c r="J37" s="1055"/>
      <c r="K37" s="1055"/>
      <c r="L37" s="1055"/>
      <c r="M37" s="1055"/>
      <c r="N37" s="1055"/>
      <c r="O37" s="1055"/>
      <c r="P37" s="1055"/>
      <c r="Q37" s="1055"/>
      <c r="R37" s="1055"/>
      <c r="S37" s="1056"/>
      <c r="T37" s="202"/>
      <c r="U37" s="236"/>
      <c r="V37" s="213"/>
      <c r="W37" s="213"/>
      <c r="X37" s="213"/>
      <c r="Y37" s="213"/>
      <c r="Z37" s="213"/>
      <c r="AA37" s="213"/>
      <c r="AB37" s="213"/>
      <c r="AC37" s="213"/>
      <c r="AD37" s="213"/>
      <c r="AE37" s="213"/>
      <c r="AF37" s="213"/>
      <c r="AG37" s="213"/>
      <c r="AH37" s="213"/>
      <c r="AI37" s="213"/>
      <c r="AJ37" s="213"/>
      <c r="AK37" s="213"/>
      <c r="AL37" s="237" t="str">
        <f>IF(A10=0,"",IF(AM31&gt;BX19,"Unterdeckung","Ausreichende Speichergröße, Überdeckung"))</f>
        <v>Ausreichende Speichergröße, Überdeckung</v>
      </c>
      <c r="AM37" s="825">
        <f>IF(A10=0,"",ABS(AM31-BX19))</f>
        <v>0.47517333333331635</v>
      </c>
      <c r="AN37" s="825"/>
      <c r="AO37" s="212" t="s">
        <v>57</v>
      </c>
      <c r="AP37" s="212"/>
      <c r="AQ37" s="238"/>
      <c r="AR37" s="203"/>
      <c r="AS37" s="124"/>
      <c r="AT37" s="124"/>
      <c r="AU37" s="124"/>
      <c r="AV37" s="124"/>
      <c r="AW37" s="124"/>
      <c r="AX37" s="528"/>
      <c r="AY37" s="122"/>
      <c r="AZ37" s="605"/>
      <c r="BA37" s="1065" t="str">
        <f>IF(AC21&gt;0,AA17*AQ15+AA23*AQ21,"")</f>
        <v/>
      </c>
      <c r="BB37" s="1066"/>
      <c r="BC37" s="1067"/>
      <c r="BE37" s="542"/>
      <c r="BF37" s="542"/>
      <c r="BG37" s="542"/>
      <c r="BH37" s="765"/>
      <c r="BI37" s="765"/>
      <c r="BJ37" s="765"/>
      <c r="BK37" s="542"/>
      <c r="BL37" s="607"/>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290"/>
      <c r="CP37" s="290"/>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c r="EA37" s="145"/>
      <c r="EB37" s="145"/>
      <c r="EC37" s="145"/>
      <c r="ED37" s="145"/>
      <c r="EE37" s="145"/>
      <c r="EF37" s="145"/>
      <c r="EG37" s="145"/>
      <c r="EH37" s="145"/>
      <c r="EI37" s="145"/>
      <c r="EJ37" s="145"/>
      <c r="EK37" s="145"/>
      <c r="EL37" s="145"/>
      <c r="EM37" s="145"/>
      <c r="EN37" s="145"/>
      <c r="EO37" s="145"/>
      <c r="EP37" s="145"/>
      <c r="EQ37" s="145"/>
      <c r="ER37" s="145"/>
      <c r="ES37" s="145"/>
      <c r="ET37" s="145"/>
    </row>
    <row r="38" spans="1:150" s="146" customFormat="1" ht="13.5" customHeight="1" thickBot="1">
      <c r="A38" s="591" t="s">
        <v>56</v>
      </c>
      <c r="B38" s="527"/>
      <c r="C38" s="527"/>
      <c r="D38" s="527"/>
      <c r="E38" s="527"/>
      <c r="F38" s="527"/>
      <c r="G38" s="527"/>
      <c r="H38" s="527"/>
      <c r="I38" s="527"/>
      <c r="J38" s="527"/>
      <c r="K38" s="527"/>
      <c r="L38" s="527"/>
      <c r="M38" s="527"/>
      <c r="N38" s="527"/>
      <c r="O38" s="527"/>
      <c r="P38" s="527"/>
      <c r="Q38" s="527"/>
      <c r="R38" s="527"/>
      <c r="S38" s="527"/>
      <c r="T38" s="527"/>
      <c r="V38" s="527"/>
      <c r="W38" s="527"/>
      <c r="X38" s="527"/>
      <c r="Y38" s="527"/>
      <c r="Z38" s="527"/>
      <c r="AA38" s="527"/>
      <c r="AB38" s="527"/>
      <c r="AC38" s="527"/>
      <c r="AD38" s="527"/>
      <c r="AE38" s="527"/>
      <c r="AF38" s="527"/>
      <c r="AG38" s="527"/>
      <c r="AH38" s="527"/>
      <c r="AI38" s="527"/>
      <c r="AJ38" s="527"/>
      <c r="AK38" s="527"/>
      <c r="AL38" s="527"/>
      <c r="AM38" s="527"/>
      <c r="AN38" s="527"/>
      <c r="AO38" s="527"/>
      <c r="AP38" s="527"/>
      <c r="AQ38" s="527"/>
      <c r="AR38" s="653"/>
      <c r="AS38" s="527"/>
      <c r="AT38" s="527"/>
      <c r="AU38" s="527"/>
      <c r="AV38" s="527"/>
      <c r="AW38" s="527"/>
      <c r="AX38" s="529"/>
      <c r="AY38" s="122"/>
      <c r="AZ38" s="609"/>
      <c r="BA38" s="1078">
        <f>I22</f>
        <v>263</v>
      </c>
      <c r="BB38" s="1079"/>
      <c r="BC38" s="1080"/>
      <c r="BD38" s="610"/>
      <c r="BE38" s="610"/>
      <c r="BF38" s="610"/>
      <c r="BG38" s="610"/>
      <c r="BH38" s="610"/>
      <c r="BI38" s="610"/>
      <c r="BJ38" s="610"/>
      <c r="BK38" s="610"/>
      <c r="BL38" s="611"/>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290"/>
      <c r="CP38" s="290"/>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row>
    <row r="39" spans="1:150" s="146" customFormat="1" ht="13.5" customHeight="1">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290"/>
      <c r="CP39" s="290"/>
      <c r="CQ39" s="122"/>
      <c r="CR39" s="122"/>
      <c r="CS39" s="122"/>
      <c r="CT39" s="122"/>
      <c r="CU39" s="122"/>
      <c r="CV39" s="122"/>
      <c r="CW39" s="122"/>
      <c r="CX39" s="122"/>
      <c r="CY39" s="122"/>
      <c r="CZ39" s="122"/>
      <c r="DA39" s="122"/>
      <c r="DB39" s="122"/>
      <c r="DC39" s="122"/>
      <c r="DD39" s="122"/>
      <c r="DE39" s="122"/>
      <c r="DF39" s="122"/>
      <c r="DG39" s="122"/>
      <c r="DH39" s="122"/>
      <c r="DI39" s="145"/>
      <c r="DJ39" s="145"/>
      <c r="DK39" s="145"/>
      <c r="DL39" s="145"/>
      <c r="DM39" s="145"/>
      <c r="DN39" s="145"/>
      <c r="DO39" s="145"/>
      <c r="DP39" s="145"/>
      <c r="DQ39" s="145"/>
      <c r="DR39" s="145"/>
      <c r="DS39" s="145"/>
      <c r="DT39" s="145"/>
      <c r="DU39" s="145"/>
      <c r="DV39" s="145"/>
      <c r="DW39" s="145"/>
      <c r="DX39" s="145"/>
      <c r="DY39" s="145"/>
      <c r="DZ39" s="145"/>
      <c r="EA39" s="145"/>
      <c r="EB39" s="145"/>
      <c r="EC39" s="145"/>
      <c r="ED39" s="145"/>
      <c r="EE39" s="145"/>
      <c r="EF39" s="145"/>
      <c r="EG39" s="145"/>
      <c r="EH39" s="145"/>
      <c r="EI39" s="145"/>
      <c r="EJ39" s="145"/>
      <c r="EK39" s="145"/>
      <c r="EL39" s="145"/>
      <c r="EM39" s="145"/>
      <c r="EN39" s="145"/>
      <c r="EO39" s="145"/>
      <c r="EP39" s="145"/>
      <c r="EQ39" s="145"/>
      <c r="ER39" s="145"/>
      <c r="ES39" s="145"/>
      <c r="ET39" s="145"/>
    </row>
    <row r="40" spans="1:150" ht="13.5" customHeight="1">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row>
    <row r="41" spans="1:150" ht="13.2" customHeight="1" thickBo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row>
    <row r="42" spans="1:150" s="122" customFormat="1" ht="13.2" customHeight="1" thickBot="1">
      <c r="A42" s="251"/>
      <c r="B42" s="252"/>
      <c r="C42" s="253" t="s">
        <v>51</v>
      </c>
      <c r="D42" s="254"/>
      <c r="E42" s="254"/>
      <c r="F42" s="254"/>
      <c r="G42" s="254"/>
      <c r="H42" s="254"/>
      <c r="I42" s="254"/>
      <c r="J42" s="254"/>
      <c r="K42" s="254"/>
      <c r="L42" s="255"/>
      <c r="M42" s="1081">
        <f>IF(M50=0,1,"")</f>
        <v>1</v>
      </c>
      <c r="N42" s="1082"/>
      <c r="O42" s="1081">
        <f>IF(M51=0,1,"")</f>
        <v>1</v>
      </c>
      <c r="P42" s="1082"/>
      <c r="Q42" s="1081">
        <f>IF(O50=0,1,"")</f>
        <v>1</v>
      </c>
      <c r="R42" s="1082"/>
      <c r="S42" s="1081">
        <f>IF(Q51=0,1,"")</f>
        <v>1</v>
      </c>
      <c r="T42" s="1082"/>
      <c r="U42" s="1081">
        <f>IF(S50=0,1,"")</f>
        <v>1</v>
      </c>
      <c r="V42" s="1082"/>
      <c r="W42" s="1081">
        <f>IF(U51=0,1,"")</f>
        <v>1</v>
      </c>
      <c r="X42" s="1082"/>
      <c r="Y42" s="1081">
        <f>IF(W50=0,1,"")</f>
        <v>1</v>
      </c>
      <c r="Z42" s="1082"/>
      <c r="AA42" s="1081">
        <f>IF(Y50=0,1,"")</f>
        <v>1</v>
      </c>
      <c r="AB42" s="1082"/>
      <c r="AC42" s="1081">
        <f>IF(AA51=0,1,"")</f>
        <v>1</v>
      </c>
      <c r="AD42" s="1082"/>
      <c r="AE42" s="1081">
        <f>IF(AC50=0,1,"")</f>
        <v>1</v>
      </c>
      <c r="AF42" s="1082"/>
      <c r="AG42" s="1081">
        <f>IF(AE51=0,1,"")</f>
        <v>1</v>
      </c>
      <c r="AH42" s="1082"/>
      <c r="AI42" s="1081">
        <f>IF(AG50=0,1,"")</f>
        <v>1</v>
      </c>
      <c r="AJ42" s="1082"/>
      <c r="AK42" s="1081">
        <f>IF(AI50=0,1,"")</f>
        <v>1</v>
      </c>
      <c r="AL42" s="1082"/>
      <c r="AM42" s="1081">
        <f>IF(AK51=0,1,"")</f>
        <v>1</v>
      </c>
      <c r="AN42" s="1082"/>
      <c r="AO42" s="1081">
        <f>IF(AM50=0,1,"")</f>
        <v>1</v>
      </c>
      <c r="AP42" s="1082"/>
      <c r="AQ42" s="256"/>
      <c r="AR42" s="257"/>
      <c r="AS42" s="258"/>
      <c r="AT42" s="126"/>
      <c r="AU42" s="126"/>
      <c r="AV42" s="126"/>
      <c r="AW42" s="126"/>
      <c r="AX42" s="259"/>
    </row>
    <row r="43" spans="1:150" s="122" customFormat="1" ht="13.2" customHeight="1" thickBot="1">
      <c r="A43" s="251"/>
      <c r="B43" s="252"/>
      <c r="C43" s="258"/>
      <c r="D43" s="126"/>
      <c r="E43" s="259"/>
      <c r="F43" s="262"/>
      <c r="G43" s="120"/>
      <c r="H43" s="263"/>
      <c r="I43" s="264"/>
      <c r="J43" s="120"/>
      <c r="K43" s="120"/>
      <c r="L43" s="265" t="s">
        <v>43</v>
      </c>
      <c r="M43" s="1083">
        <v>1</v>
      </c>
      <c r="N43" s="1084"/>
      <c r="O43" s="1084">
        <v>7</v>
      </c>
      <c r="P43" s="1084"/>
      <c r="Q43" s="1084">
        <v>10</v>
      </c>
      <c r="R43" s="1084"/>
      <c r="S43" s="1084">
        <v>14</v>
      </c>
      <c r="T43" s="1084"/>
      <c r="U43" s="1084">
        <v>20</v>
      </c>
      <c r="V43" s="1084"/>
      <c r="W43" s="1084">
        <v>21</v>
      </c>
      <c r="X43" s="1084"/>
      <c r="Y43" s="1084">
        <v>28</v>
      </c>
      <c r="Z43" s="1084"/>
      <c r="AA43" s="1084">
        <v>30</v>
      </c>
      <c r="AB43" s="1084"/>
      <c r="AC43" s="1084">
        <v>35</v>
      </c>
      <c r="AD43" s="1084"/>
      <c r="AE43" s="1084">
        <v>40</v>
      </c>
      <c r="AF43" s="1084"/>
      <c r="AG43" s="1084">
        <v>42</v>
      </c>
      <c r="AH43" s="1084"/>
      <c r="AI43" s="1084">
        <v>49</v>
      </c>
      <c r="AJ43" s="1084"/>
      <c r="AK43" s="1084">
        <v>50</v>
      </c>
      <c r="AL43" s="1084"/>
      <c r="AM43" s="1084">
        <v>56</v>
      </c>
      <c r="AN43" s="1084"/>
      <c r="AO43" s="1084">
        <v>60</v>
      </c>
      <c r="AP43" s="1084"/>
      <c r="AQ43" s="266" t="s">
        <v>46</v>
      </c>
      <c r="AR43" s="267"/>
      <c r="AS43" s="262"/>
      <c r="AT43" s="120"/>
      <c r="AU43" s="120"/>
      <c r="AV43" s="120"/>
      <c r="AW43" s="120"/>
      <c r="AX43" s="268"/>
    </row>
    <row r="44" spans="1:150" s="122" customFormat="1" ht="13.2" customHeight="1">
      <c r="A44" s="251"/>
      <c r="B44" s="252"/>
      <c r="C44" s="262"/>
      <c r="D44" s="120"/>
      <c r="E44" s="268"/>
      <c r="F44" s="1085" t="s">
        <v>41</v>
      </c>
      <c r="G44" s="126"/>
      <c r="H44" s="269"/>
      <c r="I44" s="270"/>
      <c r="J44" s="126"/>
      <c r="K44" s="271"/>
      <c r="L44" s="272" t="s">
        <v>44</v>
      </c>
      <c r="M44" s="1088">
        <f>D11</f>
        <v>76</v>
      </c>
      <c r="N44" s="1089"/>
      <c r="O44" s="1090">
        <f>M44</f>
        <v>76</v>
      </c>
      <c r="P44" s="1090"/>
      <c r="Q44" s="126"/>
      <c r="R44" s="126"/>
      <c r="S44" s="1090">
        <f>M44</f>
        <v>76</v>
      </c>
      <c r="T44" s="1090"/>
      <c r="U44" s="126"/>
      <c r="V44" s="126"/>
      <c r="W44" s="1090">
        <f>M44</f>
        <v>76</v>
      </c>
      <c r="X44" s="1090"/>
      <c r="Y44" s="1090">
        <f>O44</f>
        <v>76</v>
      </c>
      <c r="Z44" s="1090"/>
      <c r="AA44" s="126"/>
      <c r="AB44" s="126"/>
      <c r="AC44" s="1090">
        <f>M44</f>
        <v>76</v>
      </c>
      <c r="AD44" s="1090"/>
      <c r="AE44" s="126"/>
      <c r="AF44" s="126"/>
      <c r="AG44" s="1090">
        <f>M44</f>
        <v>76</v>
      </c>
      <c r="AH44" s="1090"/>
      <c r="AI44" s="1090">
        <f>M44</f>
        <v>76</v>
      </c>
      <c r="AJ44" s="1090"/>
      <c r="AK44" s="126"/>
      <c r="AL44" s="126"/>
      <c r="AM44" s="1090">
        <f>M44</f>
        <v>76</v>
      </c>
      <c r="AN44" s="1090"/>
      <c r="AO44" s="126"/>
      <c r="AP44" s="126"/>
      <c r="AQ44" s="1095"/>
      <c r="AR44" s="1096"/>
      <c r="AS44" s="262"/>
      <c r="AT44" s="120"/>
      <c r="AU44" s="120"/>
      <c r="AV44" s="120"/>
      <c r="AW44" s="120"/>
      <c r="AX44" s="268"/>
    </row>
    <row r="45" spans="1:150" s="122" customFormat="1" ht="13.2" customHeight="1">
      <c r="A45" s="251"/>
      <c r="B45" s="252"/>
      <c r="C45" s="262"/>
      <c r="D45" s="120"/>
      <c r="E45" s="268"/>
      <c r="F45" s="1086"/>
      <c r="G45" s="273"/>
      <c r="H45" s="274"/>
      <c r="I45" s="274"/>
      <c r="J45" s="275" t="s">
        <v>5</v>
      </c>
      <c r="K45" s="1094">
        <f>M45+O45+S45+W45+Y45+AC45+AG45+AI45+AM45</f>
        <v>76</v>
      </c>
      <c r="L45" s="1093"/>
      <c r="M45" s="1094">
        <f>IF(K50&gt;M44,M44,K50)</f>
        <v>76</v>
      </c>
      <c r="N45" s="1093"/>
      <c r="O45" s="1093">
        <f>IF(M51&gt;O44,O44,M51)</f>
        <v>0</v>
      </c>
      <c r="P45" s="1093"/>
      <c r="Q45" s="120"/>
      <c r="R45" s="120"/>
      <c r="S45" s="1093">
        <f>IF(Q51&gt;S44,S44,Q51)</f>
        <v>0</v>
      </c>
      <c r="T45" s="1093"/>
      <c r="U45" s="120"/>
      <c r="V45" s="120"/>
      <c r="W45" s="1093">
        <f>IF(U51&gt;W44,W44,U51)</f>
        <v>0</v>
      </c>
      <c r="X45" s="1093"/>
      <c r="Y45" s="1093">
        <f>IF(W50&gt;Y44,Y44,W50)</f>
        <v>0</v>
      </c>
      <c r="Z45" s="1093"/>
      <c r="AA45" s="120"/>
      <c r="AB45" s="120"/>
      <c r="AC45" s="1093">
        <f>IF(AA51&gt;AC44,AC44,AA51)</f>
        <v>0</v>
      </c>
      <c r="AD45" s="1093"/>
      <c r="AE45" s="120"/>
      <c r="AF45" s="120"/>
      <c r="AG45" s="1093">
        <f>IF(AE51&gt;AG44,AG44,AE51)</f>
        <v>0</v>
      </c>
      <c r="AH45" s="1093"/>
      <c r="AI45" s="1093">
        <f>IF(AG50&gt;AI44,AI44,AG50)</f>
        <v>0</v>
      </c>
      <c r="AJ45" s="1093"/>
      <c r="AK45" s="120"/>
      <c r="AL45" s="120"/>
      <c r="AM45" s="1093">
        <f>IF(AK51&gt;AI44,AI44,AK51)</f>
        <v>0</v>
      </c>
      <c r="AN45" s="1093"/>
      <c r="AO45" s="120"/>
      <c r="AP45" s="120"/>
      <c r="AQ45" s="1097"/>
      <c r="AR45" s="1098"/>
      <c r="AS45" s="262"/>
      <c r="AT45" s="120"/>
      <c r="AU45" s="120"/>
      <c r="AV45" s="120"/>
      <c r="AW45" s="120"/>
      <c r="AX45" s="268"/>
    </row>
    <row r="46" spans="1:150" s="122" customFormat="1" ht="13.2" customHeight="1">
      <c r="A46" s="251"/>
      <c r="B46" s="252"/>
      <c r="C46" s="262"/>
      <c r="D46" s="120"/>
      <c r="E46" s="268"/>
      <c r="F46" s="1086"/>
      <c r="G46" s="120"/>
      <c r="H46" s="120"/>
      <c r="I46" s="277"/>
      <c r="J46" s="278"/>
      <c r="K46" s="279"/>
      <c r="L46" s="275"/>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80"/>
      <c r="AS46" s="262"/>
      <c r="AT46" s="120"/>
      <c r="AU46" s="120"/>
      <c r="AV46" s="120"/>
      <c r="AW46" s="120"/>
      <c r="AX46" s="268"/>
    </row>
    <row r="47" spans="1:150" s="122" customFormat="1" ht="13.2" customHeight="1">
      <c r="A47" s="251"/>
      <c r="B47" s="252"/>
      <c r="C47" s="262"/>
      <c r="D47" s="120"/>
      <c r="E47" s="268"/>
      <c r="F47" s="1086"/>
      <c r="G47" s="120"/>
      <c r="H47" s="120"/>
      <c r="I47" s="273"/>
      <c r="J47" s="279"/>
      <c r="K47" s="279"/>
      <c r="L47" s="275" t="s">
        <v>45</v>
      </c>
      <c r="M47" s="1091">
        <f>D12</f>
        <v>76</v>
      </c>
      <c r="N47" s="1092"/>
      <c r="O47" s="120"/>
      <c r="P47" s="120"/>
      <c r="Q47" s="1093">
        <f>M47</f>
        <v>76</v>
      </c>
      <c r="R47" s="1093"/>
      <c r="S47" s="120"/>
      <c r="T47" s="120"/>
      <c r="U47" s="1093">
        <f>M47</f>
        <v>76</v>
      </c>
      <c r="V47" s="1093"/>
      <c r="W47" s="120"/>
      <c r="X47" s="120"/>
      <c r="Y47" s="120"/>
      <c r="Z47" s="120"/>
      <c r="AA47" s="1093">
        <f>M47</f>
        <v>76</v>
      </c>
      <c r="AB47" s="1093"/>
      <c r="AC47" s="120"/>
      <c r="AD47" s="120"/>
      <c r="AE47" s="1093">
        <f>M47</f>
        <v>76</v>
      </c>
      <c r="AF47" s="1093"/>
      <c r="AG47" s="120"/>
      <c r="AH47" s="120"/>
      <c r="AI47" s="120"/>
      <c r="AJ47" s="120"/>
      <c r="AK47" s="1093">
        <f>M47</f>
        <v>76</v>
      </c>
      <c r="AL47" s="1093"/>
      <c r="AM47" s="120"/>
      <c r="AN47" s="120"/>
      <c r="AO47" s="1093">
        <f>M47</f>
        <v>76</v>
      </c>
      <c r="AP47" s="1093"/>
      <c r="AQ47" s="1115"/>
      <c r="AR47" s="1116"/>
      <c r="AS47" s="262"/>
      <c r="AT47" s="120"/>
      <c r="AU47" s="120"/>
      <c r="AV47" s="120"/>
      <c r="AW47" s="120"/>
      <c r="AX47" s="268"/>
    </row>
    <row r="48" spans="1:150" s="122" customFormat="1" ht="13.2" customHeight="1">
      <c r="A48" s="251"/>
      <c r="B48" s="252"/>
      <c r="C48" s="262"/>
      <c r="D48" s="120"/>
      <c r="E48" s="268"/>
      <c r="F48" s="1086"/>
      <c r="G48" s="273"/>
      <c r="H48" s="274"/>
      <c r="I48" s="274"/>
      <c r="J48" s="275" t="s">
        <v>5</v>
      </c>
      <c r="K48" s="1094">
        <f>M48+Q48+U48+AA48+Y48+AE48+AG48+AK48+AO48</f>
        <v>0</v>
      </c>
      <c r="L48" s="1093"/>
      <c r="M48" s="1094">
        <f>IF(M50&gt;M47,M47,M50)</f>
        <v>0</v>
      </c>
      <c r="N48" s="1093"/>
      <c r="O48" s="120"/>
      <c r="P48" s="120"/>
      <c r="Q48" s="1093">
        <f>IF(O50&gt;Q47,Q47,O50)</f>
        <v>0</v>
      </c>
      <c r="R48" s="1093"/>
      <c r="S48" s="120"/>
      <c r="T48" s="120"/>
      <c r="U48" s="1093">
        <f>IF(S50&gt;U47,U47,S50)</f>
        <v>0</v>
      </c>
      <c r="V48" s="1093"/>
      <c r="W48" s="120"/>
      <c r="X48" s="120"/>
      <c r="Y48" s="120"/>
      <c r="Z48" s="120"/>
      <c r="AA48" s="1093">
        <f>IF(Y50&gt;AA47,AA47,Y50)</f>
        <v>0</v>
      </c>
      <c r="AB48" s="1093"/>
      <c r="AC48" s="120"/>
      <c r="AD48" s="120"/>
      <c r="AE48" s="1093">
        <f>IF(AC50&gt;AE47,AE47,AC50)</f>
        <v>0</v>
      </c>
      <c r="AF48" s="1093"/>
      <c r="AG48" s="120"/>
      <c r="AH48" s="120"/>
      <c r="AI48" s="120"/>
      <c r="AJ48" s="120"/>
      <c r="AK48" s="1093">
        <f>IF(AI50&gt;AK47,AK47,AI50)</f>
        <v>0</v>
      </c>
      <c r="AL48" s="1093"/>
      <c r="AM48" s="120"/>
      <c r="AN48" s="120"/>
      <c r="AO48" s="1093">
        <f>IF(AM50&gt;AO47,AO47,AM50)</f>
        <v>0</v>
      </c>
      <c r="AP48" s="1093"/>
      <c r="AQ48" s="1097"/>
      <c r="AR48" s="1098"/>
      <c r="AS48" s="262"/>
      <c r="AT48" s="120"/>
      <c r="AU48" s="120"/>
      <c r="AV48" s="120"/>
      <c r="AW48" s="120"/>
      <c r="AX48" s="268"/>
    </row>
    <row r="49" spans="1:50" s="122" customFormat="1" ht="13.2" customHeight="1" thickBot="1">
      <c r="A49" s="251"/>
      <c r="B49" s="252"/>
      <c r="C49" s="262"/>
      <c r="D49" s="120"/>
      <c r="E49" s="268"/>
      <c r="F49" s="1087"/>
      <c r="G49" s="132"/>
      <c r="H49" s="132"/>
      <c r="I49" s="284"/>
      <c r="J49" s="285"/>
      <c r="K49" s="285"/>
      <c r="L49" s="286"/>
      <c r="M49" s="1111"/>
      <c r="N49" s="1111"/>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7"/>
      <c r="AS49" s="262"/>
      <c r="AT49" s="120"/>
      <c r="AU49" s="120"/>
      <c r="AV49" s="120"/>
      <c r="AW49" s="120"/>
      <c r="AX49" s="268"/>
    </row>
    <row r="50" spans="1:50" s="122" customFormat="1" ht="13.2" customHeight="1">
      <c r="A50" s="251"/>
      <c r="B50" s="252"/>
      <c r="C50" s="262"/>
      <c r="D50" s="120"/>
      <c r="E50" s="268"/>
      <c r="F50" s="262"/>
      <c r="G50" s="277"/>
      <c r="H50" s="288"/>
      <c r="I50" s="288"/>
      <c r="J50" s="289" t="s">
        <v>47</v>
      </c>
      <c r="K50" s="1112">
        <f>G6</f>
        <v>76</v>
      </c>
      <c r="L50" s="1113"/>
      <c r="M50" s="1114">
        <f>K50-M45</f>
        <v>0</v>
      </c>
      <c r="N50" s="1110"/>
      <c r="O50" s="1110">
        <f>M51-O45</f>
        <v>0</v>
      </c>
      <c r="P50" s="1110"/>
      <c r="Q50" s="120"/>
      <c r="R50" s="120"/>
      <c r="S50" s="1110">
        <f>Q51-S45</f>
        <v>0</v>
      </c>
      <c r="T50" s="1110"/>
      <c r="U50" s="120"/>
      <c r="V50" s="120"/>
      <c r="W50" s="1110">
        <f>U51-W45</f>
        <v>0</v>
      </c>
      <c r="X50" s="1110"/>
      <c r="Y50" s="1110">
        <f>W50-Y45</f>
        <v>0</v>
      </c>
      <c r="Z50" s="1110"/>
      <c r="AA50" s="120"/>
      <c r="AB50" s="120"/>
      <c r="AC50" s="1110">
        <f>AA51-AC45</f>
        <v>0</v>
      </c>
      <c r="AD50" s="1110"/>
      <c r="AE50" s="120"/>
      <c r="AF50" s="120"/>
      <c r="AG50" s="1110">
        <f>AE51-AG45</f>
        <v>0</v>
      </c>
      <c r="AH50" s="1110"/>
      <c r="AI50" s="1110">
        <f>AG50-AI45</f>
        <v>0</v>
      </c>
      <c r="AJ50" s="1110"/>
      <c r="AK50" s="120"/>
      <c r="AL50" s="120"/>
      <c r="AM50" s="1110">
        <f>AK51-AM45</f>
        <v>0</v>
      </c>
      <c r="AN50" s="1110"/>
      <c r="AO50" s="120"/>
      <c r="AP50" s="120"/>
      <c r="AQ50" s="120"/>
      <c r="AR50" s="268"/>
      <c r="AS50" s="262"/>
      <c r="AT50" s="120"/>
      <c r="AU50" s="120"/>
      <c r="AV50" s="120"/>
      <c r="AW50" s="120"/>
      <c r="AX50" s="268"/>
    </row>
    <row r="51" spans="1:50" s="122" customFormat="1" ht="13.2" customHeight="1" thickBot="1">
      <c r="A51" s="251"/>
      <c r="B51" s="252"/>
      <c r="C51" s="276"/>
      <c r="D51" s="132"/>
      <c r="E51" s="247"/>
      <c r="F51" s="276"/>
      <c r="G51" s="132"/>
      <c r="H51" s="132"/>
      <c r="I51" s="132"/>
      <c r="J51" s="132"/>
      <c r="K51" s="132"/>
      <c r="L51" s="132"/>
      <c r="M51" s="1108">
        <f>M50-M48</f>
        <v>0</v>
      </c>
      <c r="N51" s="1108"/>
      <c r="O51" s="132"/>
      <c r="P51" s="132"/>
      <c r="Q51" s="1108">
        <f>O50-Q48</f>
        <v>0</v>
      </c>
      <c r="R51" s="1108"/>
      <c r="S51" s="132"/>
      <c r="T51" s="132"/>
      <c r="U51" s="1108">
        <f>S50-U48</f>
        <v>0</v>
      </c>
      <c r="V51" s="1108"/>
      <c r="W51" s="132"/>
      <c r="X51" s="132"/>
      <c r="Y51" s="132"/>
      <c r="Z51" s="132"/>
      <c r="AA51" s="1108">
        <f>Y50-AA48</f>
        <v>0</v>
      </c>
      <c r="AB51" s="1108"/>
      <c r="AC51" s="132"/>
      <c r="AD51" s="132"/>
      <c r="AE51" s="1108">
        <f>AC50-AE48</f>
        <v>0</v>
      </c>
      <c r="AF51" s="1108"/>
      <c r="AG51" s="132"/>
      <c r="AH51" s="132"/>
      <c r="AI51" s="132"/>
      <c r="AJ51" s="132"/>
      <c r="AK51" s="1108">
        <f>AI50-AK48</f>
        <v>0</v>
      </c>
      <c r="AL51" s="1108"/>
      <c r="AM51" s="132"/>
      <c r="AN51" s="132"/>
      <c r="AO51" s="1108">
        <f>AM50-AO48</f>
        <v>0</v>
      </c>
      <c r="AP51" s="1108"/>
      <c r="AQ51" s="1108"/>
      <c r="AR51" s="1109"/>
      <c r="AS51" s="276"/>
      <c r="AT51" s="132"/>
      <c r="AU51" s="132"/>
      <c r="AV51" s="132"/>
      <c r="AW51" s="132"/>
      <c r="AX51" s="247"/>
    </row>
    <row r="52" spans="1:50" s="122" customFormat="1" ht="13.2" customHeight="1"/>
    <row r="53" spans="1:50" s="122" customFormat="1" ht="13.2" customHeight="1">
      <c r="A53" s="290"/>
      <c r="B53" s="290"/>
      <c r="V53" s="290"/>
      <c r="AM53" s="290"/>
      <c r="AN53" s="290"/>
      <c r="AO53" s="290"/>
      <c r="AP53" s="290"/>
      <c r="AQ53" s="290"/>
      <c r="AR53" s="290"/>
      <c r="AS53" s="290"/>
      <c r="AT53" s="290"/>
      <c r="AU53" s="290"/>
      <c r="AV53" s="290"/>
      <c r="AW53" s="290"/>
      <c r="AX53" s="290"/>
    </row>
    <row r="54" spans="1:50" s="122" customFormat="1" ht="13.2" customHeight="1">
      <c r="A54" s="290"/>
      <c r="B54" s="290"/>
      <c r="C54" s="290"/>
      <c r="O54" s="290"/>
      <c r="AV54" s="290"/>
      <c r="AW54" s="290"/>
      <c r="AX54" s="290"/>
    </row>
    <row r="55" spans="1:50" s="122" customFormat="1" ht="13.2" customHeight="1">
      <c r="A55" s="290"/>
      <c r="B55" s="290"/>
      <c r="C55" s="290"/>
      <c r="O55" s="290"/>
      <c r="AV55" s="290"/>
      <c r="AW55" s="290"/>
      <c r="AX55" s="290"/>
    </row>
    <row r="56" spans="1:50" s="122" customFormat="1" ht="13.2" customHeight="1">
      <c r="A56" s="290"/>
      <c r="B56" s="290"/>
      <c r="O56" s="290"/>
    </row>
    <row r="57" spans="1:50" s="122" customFormat="1" ht="13.2" customHeight="1">
      <c r="A57" s="290"/>
      <c r="B57" s="290"/>
    </row>
    <row r="58" spans="1:50" s="122" customFormat="1" ht="13.2" customHeight="1">
      <c r="A58" s="290"/>
      <c r="B58" s="290"/>
    </row>
    <row r="59" spans="1:50" s="122" customFormat="1" ht="13.2" customHeight="1">
      <c r="A59" s="290"/>
      <c r="B59" s="290"/>
      <c r="C59" s="290"/>
    </row>
    <row r="60" spans="1:50" s="122" customFormat="1" ht="13.2" customHeight="1">
      <c r="A60" s="290"/>
      <c r="B60" s="290"/>
      <c r="C60" s="290"/>
    </row>
    <row r="61" spans="1:50" s="122" customFormat="1" ht="13.2" customHeight="1">
      <c r="A61" s="290"/>
      <c r="B61" s="290"/>
      <c r="C61" s="290"/>
      <c r="AV61" s="290"/>
      <c r="AW61" s="290"/>
      <c r="AX61" s="290"/>
    </row>
    <row r="62" spans="1:50" s="122" customFormat="1" ht="13.2" customHeight="1">
      <c r="A62" s="290"/>
      <c r="B62" s="290"/>
      <c r="C62" s="290"/>
      <c r="AV62" s="290"/>
      <c r="AW62" s="290"/>
      <c r="AX62" s="290"/>
    </row>
    <row r="63" spans="1:50" s="122" customFormat="1" ht="13.2" customHeight="1">
      <c r="A63" s="290"/>
      <c r="B63" s="290"/>
      <c r="C63" s="290"/>
      <c r="AV63" s="290"/>
      <c r="AW63" s="290"/>
      <c r="AX63" s="290"/>
    </row>
    <row r="64" spans="1:50" s="122" customFormat="1" ht="13.2" customHeight="1">
      <c r="A64" s="290"/>
      <c r="B64" s="290"/>
      <c r="C64" s="290"/>
      <c r="AV64" s="290"/>
      <c r="AW64" s="290"/>
      <c r="AX64" s="290"/>
    </row>
    <row r="65" spans="1:93" s="122" customFormat="1" ht="13.2" customHeight="1">
      <c r="A65" s="290"/>
      <c r="B65" s="290"/>
      <c r="C65" s="290"/>
      <c r="AV65" s="290"/>
      <c r="AW65" s="290"/>
      <c r="AX65" s="290"/>
    </row>
    <row r="66" spans="1:93" s="122" customFormat="1" ht="13.2" customHeight="1">
      <c r="A66" s="290"/>
      <c r="B66" s="290"/>
      <c r="C66" s="290"/>
      <c r="AV66" s="290"/>
      <c r="AW66" s="290"/>
      <c r="AX66" s="290"/>
      <c r="CM66" s="290"/>
      <c r="CN66" s="290"/>
      <c r="CO66" s="290"/>
    </row>
    <row r="67" spans="1:93" s="122" customFormat="1" ht="13.2" customHeight="1">
      <c r="A67" s="290"/>
      <c r="B67" s="290"/>
      <c r="C67" s="290"/>
      <c r="AV67" s="290"/>
      <c r="AW67" s="290"/>
      <c r="AX67" s="290"/>
      <c r="CM67" s="290"/>
      <c r="CN67" s="290"/>
      <c r="CO67" s="290"/>
    </row>
    <row r="68" spans="1:93" s="122" customFormat="1" ht="13.2" customHeight="1">
      <c r="A68" s="290"/>
      <c r="B68" s="290"/>
      <c r="C68" s="290"/>
      <c r="D68" s="290"/>
      <c r="E68" s="290"/>
      <c r="F68" s="290"/>
      <c r="G68" s="290"/>
      <c r="H68" s="290"/>
      <c r="I68" s="290"/>
      <c r="J68" s="290"/>
      <c r="K68" s="290"/>
      <c r="L68" s="290"/>
      <c r="M68" s="290"/>
      <c r="N68" s="290"/>
      <c r="O68" s="290"/>
      <c r="AV68" s="290"/>
      <c r="AW68" s="290"/>
      <c r="AX68" s="290"/>
      <c r="CM68" s="290"/>
      <c r="CN68" s="290"/>
      <c r="CO68" s="290"/>
    </row>
    <row r="69" spans="1:93" s="122" customFormat="1" ht="13.2" customHeight="1">
      <c r="B69" s="290"/>
      <c r="C69" s="290"/>
      <c r="D69" s="290"/>
      <c r="E69" s="290"/>
      <c r="F69" s="290"/>
      <c r="G69" s="290"/>
      <c r="H69" s="290"/>
      <c r="I69" s="290"/>
      <c r="J69" s="290"/>
      <c r="K69" s="290"/>
      <c r="L69" s="290"/>
      <c r="M69" s="290"/>
      <c r="N69" s="290"/>
      <c r="O69" s="290"/>
      <c r="AV69" s="290"/>
      <c r="AW69" s="290"/>
      <c r="AX69" s="290"/>
      <c r="CM69" s="290"/>
      <c r="CN69" s="290"/>
      <c r="CO69" s="290"/>
    </row>
    <row r="70" spans="1:93" s="122" customFormat="1" ht="13.2" customHeight="1">
      <c r="B70" s="290"/>
      <c r="C70" s="290"/>
      <c r="D70" s="290"/>
      <c r="E70" s="290"/>
      <c r="F70" s="290"/>
      <c r="G70" s="290"/>
      <c r="H70" s="290"/>
      <c r="I70" s="290"/>
      <c r="J70" s="290"/>
      <c r="K70" s="290"/>
      <c r="L70" s="290"/>
      <c r="M70" s="290"/>
      <c r="N70" s="290"/>
      <c r="O70" s="290"/>
      <c r="P70" s="290"/>
      <c r="Q70" s="290"/>
      <c r="R70" s="290"/>
      <c r="AV70" s="290"/>
      <c r="AW70" s="290"/>
      <c r="AX70" s="290"/>
      <c r="CM70" s="290"/>
      <c r="CN70" s="290"/>
      <c r="CO70" s="290"/>
    </row>
    <row r="71" spans="1:93" s="122" customFormat="1" ht="13.2" customHeight="1">
      <c r="B71" s="290"/>
      <c r="C71" s="290"/>
      <c r="D71" s="290"/>
      <c r="E71" s="290"/>
      <c r="F71" s="290"/>
      <c r="G71" s="290"/>
      <c r="H71" s="290"/>
      <c r="I71" s="290"/>
      <c r="J71" s="290"/>
      <c r="K71" s="290"/>
      <c r="L71" s="290"/>
      <c r="M71" s="290"/>
      <c r="N71" s="290"/>
      <c r="O71" s="290"/>
      <c r="P71" s="290"/>
      <c r="Q71" s="290"/>
      <c r="R71" s="290"/>
      <c r="AV71" s="290"/>
      <c r="AW71" s="290"/>
      <c r="AX71" s="290"/>
      <c r="CM71" s="290"/>
      <c r="CN71" s="290"/>
      <c r="CO71" s="290"/>
    </row>
    <row r="72" spans="1:93" s="122" customFormat="1" ht="13.2" customHeight="1">
      <c r="B72" s="290"/>
      <c r="C72" s="290"/>
      <c r="D72" s="290"/>
      <c r="E72" s="290"/>
      <c r="F72" s="290"/>
      <c r="G72" s="290"/>
      <c r="H72" s="290"/>
      <c r="I72" s="290"/>
      <c r="J72" s="290"/>
      <c r="K72" s="290"/>
      <c r="L72" s="290"/>
      <c r="M72" s="290"/>
      <c r="N72" s="290"/>
      <c r="O72" s="290"/>
      <c r="P72" s="290"/>
      <c r="Q72" s="290"/>
      <c r="R72" s="290"/>
      <c r="AV72" s="290"/>
      <c r="AW72" s="290"/>
      <c r="AX72" s="290"/>
      <c r="CM72" s="290"/>
      <c r="CN72" s="290"/>
      <c r="CO72" s="290"/>
    </row>
    <row r="73" spans="1:93" s="122" customFormat="1" ht="13.2" customHeight="1">
      <c r="B73" s="290"/>
      <c r="C73" s="290"/>
      <c r="D73" s="290"/>
      <c r="E73" s="290"/>
      <c r="F73" s="290"/>
      <c r="G73" s="290"/>
      <c r="H73" s="290"/>
      <c r="I73" s="290"/>
      <c r="J73" s="290"/>
      <c r="K73" s="290"/>
      <c r="L73" s="290"/>
      <c r="M73" s="290"/>
      <c r="N73" s="290"/>
      <c r="O73" s="290"/>
      <c r="P73" s="290"/>
      <c r="Q73" s="290"/>
      <c r="R73" s="290"/>
      <c r="AV73" s="290"/>
      <c r="AW73" s="290"/>
      <c r="AX73" s="290"/>
      <c r="CM73" s="290"/>
      <c r="CN73" s="290"/>
      <c r="CO73" s="290"/>
    </row>
    <row r="74" spans="1:93" s="122" customFormat="1" ht="13.2" customHeight="1">
      <c r="B74" s="290"/>
      <c r="C74" s="290"/>
      <c r="D74" s="290"/>
      <c r="E74" s="290"/>
      <c r="F74" s="290"/>
      <c r="G74" s="290"/>
      <c r="H74" s="290"/>
      <c r="I74" s="290"/>
      <c r="J74" s="290"/>
      <c r="K74" s="290"/>
      <c r="L74" s="290"/>
      <c r="M74" s="290"/>
      <c r="N74" s="290"/>
      <c r="O74" s="290"/>
      <c r="P74" s="290"/>
      <c r="Q74" s="290"/>
      <c r="R74" s="290"/>
      <c r="AV74" s="290"/>
      <c r="AW74" s="290"/>
      <c r="AX74" s="290"/>
      <c r="CM74" s="290"/>
      <c r="CN74" s="290"/>
      <c r="CO74" s="290"/>
    </row>
    <row r="75" spans="1:93" s="122" customFormat="1" ht="13.2" customHeight="1">
      <c r="B75" s="290"/>
      <c r="C75" s="290"/>
      <c r="D75" s="290"/>
      <c r="E75" s="290"/>
      <c r="F75" s="290"/>
      <c r="G75" s="290"/>
      <c r="H75" s="290"/>
      <c r="I75" s="290"/>
      <c r="J75" s="290"/>
      <c r="K75" s="290"/>
      <c r="L75" s="290"/>
      <c r="M75" s="290"/>
      <c r="N75" s="290"/>
      <c r="O75" s="290"/>
      <c r="P75" s="290"/>
      <c r="Q75" s="290"/>
      <c r="R75" s="290"/>
      <c r="AV75" s="290"/>
      <c r="AW75" s="290"/>
      <c r="AX75" s="290"/>
      <c r="CM75" s="290"/>
      <c r="CN75" s="290"/>
      <c r="CO75" s="290"/>
    </row>
    <row r="76" spans="1:93" s="122" customFormat="1" ht="13.2" customHeight="1">
      <c r="O76" s="291"/>
      <c r="P76" s="291"/>
      <c r="Q76" s="291"/>
      <c r="R76" s="291"/>
      <c r="AV76" s="290"/>
      <c r="AW76" s="290"/>
      <c r="AX76" s="290"/>
      <c r="CM76" s="290"/>
      <c r="CN76" s="290"/>
      <c r="CO76" s="290"/>
    </row>
    <row r="77" spans="1:93" s="122" customFormat="1" ht="13.2" customHeight="1">
      <c r="O77" s="291"/>
      <c r="P77" s="291"/>
      <c r="Q77" s="291"/>
      <c r="R77" s="291"/>
      <c r="CM77" s="290"/>
      <c r="CN77" s="290"/>
      <c r="CO77" s="290"/>
    </row>
    <row r="78" spans="1:93" s="122" customFormat="1" ht="13.2" customHeight="1">
      <c r="O78" s="291"/>
      <c r="P78" s="291"/>
      <c r="Q78" s="291"/>
      <c r="R78" s="291"/>
      <c r="CM78" s="290"/>
      <c r="CN78" s="290"/>
      <c r="CO78" s="290"/>
    </row>
    <row r="79" spans="1:93" s="122" customFormat="1" ht="13.2" customHeight="1">
      <c r="O79" s="291"/>
      <c r="P79" s="291"/>
      <c r="Q79" s="291"/>
      <c r="R79" s="291"/>
      <c r="CM79" s="290"/>
      <c r="CN79" s="290"/>
      <c r="CO79" s="290"/>
    </row>
    <row r="80" spans="1:93" s="122" customFormat="1" ht="13.2" customHeight="1">
      <c r="O80" s="291"/>
      <c r="P80" s="291"/>
      <c r="Q80" s="291"/>
      <c r="R80" s="291"/>
    </row>
    <row r="81" spans="15:18" s="122" customFormat="1" ht="13.2" customHeight="1">
      <c r="O81" s="291"/>
      <c r="P81" s="291"/>
      <c r="Q81" s="291"/>
      <c r="R81" s="291"/>
    </row>
    <row r="82" spans="15:18" s="122" customFormat="1" ht="13.2" customHeight="1">
      <c r="O82" s="291"/>
      <c r="P82" s="291"/>
      <c r="Q82" s="291"/>
      <c r="R82" s="291"/>
    </row>
    <row r="83" spans="15:18" s="122" customFormat="1" ht="13.2" customHeight="1">
      <c r="O83" s="291"/>
      <c r="P83" s="291"/>
      <c r="Q83" s="291"/>
      <c r="R83" s="291"/>
    </row>
    <row r="84" spans="15:18" s="122" customFormat="1" ht="13.2" customHeight="1">
      <c r="O84" s="291"/>
      <c r="P84" s="291"/>
      <c r="Q84" s="291"/>
      <c r="R84" s="291"/>
    </row>
    <row r="85" spans="15:18" s="122" customFormat="1" ht="13.2" customHeight="1">
      <c r="O85" s="291"/>
      <c r="P85" s="291"/>
      <c r="Q85" s="291"/>
      <c r="R85" s="291"/>
    </row>
    <row r="86" spans="15:18" s="122" customFormat="1" ht="13.2" customHeight="1">
      <c r="O86" s="291"/>
      <c r="P86" s="291"/>
      <c r="Q86" s="291"/>
      <c r="R86" s="291"/>
    </row>
    <row r="87" spans="15:18" s="122" customFormat="1" ht="13.2" customHeight="1">
      <c r="O87" s="291"/>
      <c r="P87" s="291"/>
      <c r="Q87" s="291"/>
      <c r="R87" s="291"/>
    </row>
    <row r="88" spans="15:18" s="122" customFormat="1" ht="13.2" customHeight="1">
      <c r="O88" s="291"/>
      <c r="P88" s="291"/>
      <c r="Q88" s="291"/>
      <c r="R88" s="291"/>
    </row>
    <row r="89" spans="15:18" s="122" customFormat="1" ht="13.2" customHeight="1">
      <c r="O89" s="291"/>
      <c r="P89" s="291"/>
      <c r="Q89" s="291"/>
      <c r="R89" s="291"/>
    </row>
    <row r="90" spans="15:18" s="122" customFormat="1" ht="13.2" customHeight="1">
      <c r="O90" s="291"/>
      <c r="P90" s="291"/>
      <c r="Q90" s="291"/>
      <c r="R90" s="291"/>
    </row>
    <row r="91" spans="15:18" s="122" customFormat="1" ht="13.2" customHeight="1">
      <c r="O91" s="291"/>
      <c r="P91" s="291"/>
      <c r="Q91" s="291"/>
      <c r="R91" s="291"/>
    </row>
    <row r="92" spans="15:18" s="122" customFormat="1" ht="13.2" customHeight="1">
      <c r="O92" s="291"/>
      <c r="P92" s="291"/>
      <c r="Q92" s="291"/>
      <c r="R92" s="291"/>
    </row>
    <row r="93" spans="15:18" s="122" customFormat="1" ht="13.2" customHeight="1">
      <c r="O93" s="291"/>
      <c r="P93" s="291"/>
      <c r="Q93" s="291"/>
      <c r="R93" s="291"/>
    </row>
    <row r="94" spans="15:18" s="122" customFormat="1" ht="13.2" customHeight="1">
      <c r="O94" s="291"/>
      <c r="P94" s="291"/>
      <c r="Q94" s="291"/>
      <c r="R94" s="291"/>
    </row>
    <row r="95" spans="15:18" s="122" customFormat="1" ht="13.2" customHeight="1">
      <c r="O95" s="291"/>
      <c r="P95" s="291"/>
      <c r="Q95" s="291"/>
      <c r="R95" s="291"/>
    </row>
    <row r="96" spans="15:18" s="122" customFormat="1" ht="13.2" customHeight="1">
      <c r="O96" s="291"/>
      <c r="P96" s="291"/>
      <c r="Q96" s="291"/>
      <c r="R96" s="291"/>
    </row>
    <row r="97" spans="15:18" s="122" customFormat="1" ht="13.2" customHeight="1">
      <c r="O97" s="291"/>
      <c r="P97" s="291"/>
      <c r="Q97" s="291"/>
      <c r="R97" s="291"/>
    </row>
    <row r="98" spans="15:18" s="122" customFormat="1" ht="13.2" customHeight="1">
      <c r="O98" s="291"/>
      <c r="P98" s="291"/>
      <c r="Q98" s="291"/>
      <c r="R98" s="291"/>
    </row>
    <row r="99" spans="15:18" s="122" customFormat="1" ht="13.2" customHeight="1">
      <c r="O99" s="291"/>
      <c r="P99" s="291"/>
      <c r="Q99" s="291"/>
      <c r="R99" s="291"/>
    </row>
    <row r="100" spans="15:18" s="122" customFormat="1" ht="13.2" customHeight="1">
      <c r="O100" s="291"/>
      <c r="P100" s="291"/>
      <c r="Q100" s="291"/>
      <c r="R100" s="291"/>
    </row>
    <row r="101" spans="15:18" s="122" customFormat="1" ht="13.2" customHeight="1">
      <c r="O101" s="291"/>
      <c r="P101" s="291"/>
      <c r="Q101" s="291"/>
      <c r="R101" s="291"/>
    </row>
    <row r="102" spans="15:18" s="122" customFormat="1" ht="13.2" customHeight="1">
      <c r="O102" s="291"/>
      <c r="P102" s="291"/>
      <c r="Q102" s="291"/>
      <c r="R102" s="291"/>
    </row>
    <row r="103" spans="15:18" s="122" customFormat="1" ht="13.2" customHeight="1">
      <c r="O103" s="291"/>
      <c r="P103" s="291"/>
      <c r="Q103" s="291"/>
      <c r="R103" s="291"/>
    </row>
    <row r="104" spans="15:18" s="122" customFormat="1" ht="13.2" customHeight="1">
      <c r="O104" s="291"/>
      <c r="P104" s="291"/>
      <c r="Q104" s="291"/>
      <c r="R104" s="291"/>
    </row>
    <row r="105" spans="15:18" s="122" customFormat="1" ht="13.2" customHeight="1">
      <c r="O105" s="291"/>
      <c r="P105" s="291"/>
      <c r="Q105" s="291"/>
      <c r="R105" s="291"/>
    </row>
    <row r="106" spans="15:18" s="122" customFormat="1" ht="13.2" customHeight="1">
      <c r="O106" s="291"/>
      <c r="P106" s="291"/>
      <c r="Q106" s="291"/>
      <c r="R106" s="291"/>
    </row>
    <row r="107" spans="15:18" s="122" customFormat="1" ht="13.2" customHeight="1">
      <c r="O107" s="291"/>
      <c r="P107" s="291"/>
      <c r="Q107" s="291"/>
      <c r="R107" s="291"/>
    </row>
    <row r="108" spans="15:18" s="122" customFormat="1" ht="13.2" customHeight="1">
      <c r="O108" s="291"/>
      <c r="P108" s="291"/>
      <c r="Q108" s="291"/>
      <c r="R108" s="291"/>
    </row>
    <row r="109" spans="15:18" s="122" customFormat="1" ht="13.2" customHeight="1">
      <c r="O109" s="291"/>
      <c r="P109" s="291"/>
      <c r="Q109" s="291"/>
      <c r="R109" s="291"/>
    </row>
    <row r="110" spans="15:18" s="122" customFormat="1" ht="13.2" customHeight="1">
      <c r="O110" s="291"/>
      <c r="P110" s="291"/>
      <c r="Q110" s="291"/>
      <c r="R110" s="291"/>
    </row>
    <row r="111" spans="15:18" s="122" customFormat="1" ht="13.2" customHeight="1">
      <c r="O111" s="291"/>
      <c r="P111" s="291"/>
      <c r="Q111" s="291"/>
      <c r="R111" s="291"/>
    </row>
    <row r="112" spans="15:18" s="122" customFormat="1" ht="13.2" customHeight="1">
      <c r="O112" s="291"/>
      <c r="P112" s="291"/>
      <c r="Q112" s="291"/>
      <c r="R112" s="291"/>
    </row>
    <row r="113" spans="15:18" s="122" customFormat="1" ht="13.2" customHeight="1">
      <c r="O113" s="291"/>
      <c r="P113" s="291"/>
      <c r="Q113" s="291"/>
      <c r="R113" s="291"/>
    </row>
    <row r="114" spans="15:18" s="122" customFormat="1" ht="13.2" customHeight="1">
      <c r="O114" s="291"/>
      <c r="P114" s="291"/>
      <c r="Q114" s="291"/>
      <c r="R114" s="291"/>
    </row>
    <row r="115" spans="15:18" s="122" customFormat="1" ht="13.2" customHeight="1">
      <c r="O115" s="291"/>
      <c r="P115" s="291"/>
      <c r="Q115" s="291"/>
      <c r="R115" s="291"/>
    </row>
    <row r="116" spans="15:18" s="122" customFormat="1" ht="13.2" customHeight="1">
      <c r="O116" s="291"/>
      <c r="P116" s="291"/>
      <c r="Q116" s="291"/>
      <c r="R116" s="291"/>
    </row>
    <row r="117" spans="15:18" s="122" customFormat="1" ht="13.2" customHeight="1">
      <c r="O117" s="291"/>
      <c r="P117" s="291"/>
      <c r="Q117" s="291"/>
      <c r="R117" s="291"/>
    </row>
    <row r="118" spans="15:18" s="122" customFormat="1" ht="13.2" customHeight="1">
      <c r="O118" s="291"/>
      <c r="P118" s="291"/>
      <c r="Q118" s="291"/>
      <c r="R118" s="291"/>
    </row>
    <row r="119" spans="15:18" s="122" customFormat="1" ht="13.2" customHeight="1">
      <c r="O119" s="291"/>
      <c r="P119" s="291"/>
      <c r="Q119" s="291"/>
      <c r="R119" s="291"/>
    </row>
    <row r="120" spans="15:18" s="122" customFormat="1" ht="13.2" customHeight="1">
      <c r="O120" s="291"/>
      <c r="P120" s="291"/>
      <c r="Q120" s="291"/>
      <c r="R120" s="291"/>
    </row>
    <row r="121" spans="15:18" s="122" customFormat="1" ht="13.2" customHeight="1">
      <c r="O121" s="291"/>
      <c r="P121" s="291"/>
      <c r="Q121" s="291"/>
      <c r="R121" s="291"/>
    </row>
    <row r="122" spans="15:18" s="122" customFormat="1" ht="13.2" customHeight="1">
      <c r="O122" s="291"/>
      <c r="P122" s="291"/>
      <c r="Q122" s="291"/>
      <c r="R122" s="291"/>
    </row>
    <row r="123" spans="15:18" s="122" customFormat="1" ht="13.2" customHeight="1">
      <c r="O123" s="291"/>
      <c r="P123" s="291"/>
      <c r="Q123" s="291"/>
      <c r="R123" s="291"/>
    </row>
    <row r="124" spans="15:18" s="122" customFormat="1" ht="13.2" customHeight="1">
      <c r="O124" s="291"/>
      <c r="P124" s="291"/>
      <c r="Q124" s="291"/>
      <c r="R124" s="291"/>
    </row>
    <row r="125" spans="15:18" s="122" customFormat="1" ht="13.2" customHeight="1">
      <c r="O125" s="291"/>
      <c r="P125" s="291"/>
      <c r="Q125" s="291"/>
      <c r="R125" s="291"/>
    </row>
    <row r="126" spans="15:18" s="122" customFormat="1" ht="13.2" customHeight="1">
      <c r="O126" s="291"/>
      <c r="P126" s="291"/>
      <c r="Q126" s="291"/>
      <c r="R126" s="291"/>
    </row>
    <row r="127" spans="15:18" s="122" customFormat="1" ht="13.2" customHeight="1">
      <c r="O127" s="291"/>
      <c r="P127" s="291"/>
      <c r="Q127" s="291"/>
      <c r="R127" s="291"/>
    </row>
    <row r="128" spans="15:18" s="122" customFormat="1" ht="13.2" customHeight="1">
      <c r="O128" s="291"/>
      <c r="P128" s="291"/>
      <c r="Q128" s="291"/>
      <c r="R128" s="291"/>
    </row>
    <row r="129" spans="15:84" s="122" customFormat="1" ht="13.2" customHeight="1">
      <c r="O129" s="291"/>
      <c r="P129" s="291"/>
      <c r="Q129" s="291"/>
      <c r="R129" s="291"/>
    </row>
    <row r="130" spans="15:84" s="122" customFormat="1" ht="13.2" customHeight="1">
      <c r="O130" s="291"/>
      <c r="P130" s="291"/>
      <c r="Q130" s="291"/>
      <c r="R130" s="291"/>
    </row>
    <row r="131" spans="15:84" s="122" customFormat="1" ht="13.2" customHeight="1">
      <c r="O131" s="291"/>
      <c r="P131" s="291"/>
      <c r="Q131" s="291"/>
      <c r="R131" s="291"/>
    </row>
    <row r="132" spans="15:84" s="122" customFormat="1" ht="13.2" customHeight="1">
      <c r="O132" s="291"/>
      <c r="P132" s="291"/>
      <c r="Q132" s="291"/>
      <c r="R132" s="291"/>
    </row>
    <row r="133" spans="15:84" s="122" customFormat="1" ht="13.2" customHeight="1">
      <c r="O133" s="291"/>
      <c r="P133" s="291"/>
      <c r="Q133" s="291"/>
      <c r="R133" s="291"/>
    </row>
    <row r="134" spans="15:84" s="122" customFormat="1" ht="13.2" customHeight="1">
      <c r="O134" s="291"/>
      <c r="P134" s="291"/>
      <c r="Q134" s="291"/>
      <c r="R134" s="291"/>
    </row>
    <row r="135" spans="15:84" s="122" customFormat="1" ht="13.2" customHeight="1">
      <c r="O135" s="291"/>
      <c r="P135" s="291"/>
      <c r="Q135" s="291"/>
      <c r="R135" s="291"/>
    </row>
    <row r="136" spans="15:84" s="122" customFormat="1" ht="13.2" customHeight="1">
      <c r="O136" s="291"/>
      <c r="P136" s="291"/>
      <c r="Q136" s="291"/>
      <c r="R136" s="291"/>
    </row>
    <row r="137" spans="15:84" s="122" customFormat="1" ht="13.2" customHeight="1">
      <c r="O137" s="291"/>
      <c r="P137" s="291"/>
      <c r="Q137" s="291"/>
      <c r="R137" s="291"/>
    </row>
    <row r="138" spans="15:84" s="122" customFormat="1" ht="13.2" customHeight="1">
      <c r="O138" s="291"/>
      <c r="P138" s="291"/>
      <c r="Q138" s="291"/>
      <c r="R138" s="291"/>
    </row>
    <row r="139" spans="15:84" s="122" customFormat="1" ht="13.2" customHeight="1">
      <c r="O139" s="291"/>
      <c r="P139" s="291"/>
      <c r="Q139" s="291"/>
      <c r="R139" s="291"/>
    </row>
    <row r="140" spans="15:84" s="122" customFormat="1" ht="13.2" customHeight="1">
      <c r="O140" s="291"/>
      <c r="P140" s="291"/>
      <c r="Q140" s="291"/>
      <c r="R140" s="291"/>
    </row>
    <row r="141" spans="15:84" s="122" customFormat="1" ht="13.2" customHeight="1">
      <c r="O141" s="291"/>
      <c r="P141" s="291"/>
      <c r="Q141" s="291"/>
      <c r="R141" s="291"/>
    </row>
    <row r="142" spans="15:84" s="122" customFormat="1" ht="13.2" customHeight="1">
      <c r="O142" s="291"/>
      <c r="P142" s="291"/>
      <c r="Q142" s="291"/>
      <c r="R142" s="291"/>
    </row>
    <row r="143" spans="15:84" s="122" customFormat="1" ht="13.2" customHeight="1">
      <c r="O143" s="291"/>
      <c r="P143" s="291"/>
      <c r="Q143" s="291"/>
      <c r="R143" s="291"/>
    </row>
    <row r="144" spans="15:84" s="122" customFormat="1" ht="13.2" customHeight="1">
      <c r="O144" s="291"/>
      <c r="P144" s="291"/>
      <c r="Q144" s="291"/>
      <c r="R144" s="291"/>
      <c r="BM144" s="121"/>
      <c r="BN144" s="121"/>
      <c r="BO144" s="121"/>
      <c r="BP144" s="121"/>
      <c r="BQ144" s="121"/>
      <c r="BR144" s="121"/>
      <c r="BS144" s="121"/>
      <c r="BT144" s="121"/>
      <c r="BU144" s="121"/>
      <c r="BV144" s="121"/>
      <c r="BW144" s="121"/>
      <c r="BX144" s="121"/>
      <c r="BY144" s="121"/>
      <c r="BZ144" s="121"/>
      <c r="CA144" s="121"/>
      <c r="CB144" s="121"/>
      <c r="CC144" s="121"/>
      <c r="CD144" s="121"/>
      <c r="CE144" s="121"/>
      <c r="CF144" s="121"/>
    </row>
    <row r="145" spans="2:150" s="121" customFormat="1" ht="13.2" customHeight="1">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CG145" s="122"/>
      <c r="CH145" s="122"/>
      <c r="CI145" s="122"/>
      <c r="CJ145" s="122"/>
      <c r="CK145" s="122"/>
      <c r="CL145" s="122"/>
      <c r="CM145" s="122"/>
      <c r="CN145" s="122"/>
      <c r="CO145" s="122"/>
      <c r="CP145" s="122"/>
      <c r="CQ145" s="122"/>
      <c r="CR145" s="122"/>
      <c r="CS145" s="122"/>
      <c r="CT145" s="122"/>
      <c r="CU145" s="122"/>
      <c r="CV145" s="122"/>
      <c r="CW145" s="122"/>
      <c r="CX145" s="122"/>
      <c r="CY145" s="122"/>
      <c r="CZ145" s="122"/>
      <c r="DA145" s="122"/>
      <c r="DB145" s="122"/>
      <c r="DC145" s="122"/>
      <c r="DD145" s="122"/>
      <c r="DE145" s="122"/>
      <c r="DF145" s="122"/>
      <c r="DG145" s="122"/>
      <c r="DH145" s="122"/>
      <c r="DI145" s="122"/>
      <c r="DJ145" s="122"/>
      <c r="DK145" s="122"/>
      <c r="DL145" s="122"/>
      <c r="DM145" s="122"/>
      <c r="DN145" s="122"/>
      <c r="DO145" s="122"/>
      <c r="DP145" s="122"/>
      <c r="DQ145" s="122"/>
      <c r="DR145" s="122"/>
      <c r="DS145" s="122"/>
      <c r="DT145" s="122"/>
      <c r="DU145" s="122"/>
      <c r="DV145" s="122"/>
      <c r="DW145" s="122"/>
      <c r="DX145" s="122"/>
      <c r="DY145" s="122"/>
      <c r="DZ145" s="122"/>
      <c r="EA145" s="122"/>
      <c r="EB145" s="122"/>
      <c r="EC145" s="122"/>
      <c r="ED145" s="122"/>
      <c r="EE145" s="122"/>
      <c r="EF145" s="122"/>
      <c r="EG145" s="122"/>
      <c r="EH145" s="122"/>
      <c r="EI145" s="122"/>
      <c r="EJ145" s="122"/>
      <c r="EK145" s="122"/>
      <c r="EL145" s="122"/>
      <c r="EM145" s="122"/>
      <c r="EN145" s="122"/>
      <c r="EO145" s="122"/>
      <c r="EP145" s="122"/>
      <c r="EQ145" s="122"/>
      <c r="ER145" s="122"/>
      <c r="ES145" s="122"/>
      <c r="ET145" s="122"/>
    </row>
  </sheetData>
  <sheetProtection algorithmName="SHA-512" hashValue="5QJO8zYDQHwCgeiL5bDLqJMeKqcYJlbGujxsVCyW8LKhCQHqnYMwonPnZHCxIrgo/lJA2EiyqL5c+DUX/BIl/g==" saltValue="EuYDfjiZ3HZPCdkMsLGnYA==" spinCount="100000" sheet="1" selectLockedCells="1" selectUnlockedCells="1"/>
  <mergeCells count="319">
    <mergeCell ref="A1:X3"/>
    <mergeCell ref="AK51:AL51"/>
    <mergeCell ref="AO51:AP51"/>
    <mergeCell ref="AQ51:AR51"/>
    <mergeCell ref="Y50:Z50"/>
    <mergeCell ref="AC50:AD50"/>
    <mergeCell ref="AG50:AH50"/>
    <mergeCell ref="AI50:AJ50"/>
    <mergeCell ref="AM50:AN50"/>
    <mergeCell ref="M51:N51"/>
    <mergeCell ref="Q51:R51"/>
    <mergeCell ref="U51:V51"/>
    <mergeCell ref="AA51:AB51"/>
    <mergeCell ref="AE51:AF51"/>
    <mergeCell ref="AK47:AL47"/>
    <mergeCell ref="M49:N49"/>
    <mergeCell ref="K50:L50"/>
    <mergeCell ref="M50:N50"/>
    <mergeCell ref="O50:P50"/>
    <mergeCell ref="S50:T50"/>
    <mergeCell ref="W50:X50"/>
    <mergeCell ref="AO47:AP47"/>
    <mergeCell ref="AQ47:AR48"/>
    <mergeCell ref="K48:L48"/>
    <mergeCell ref="M48:N48"/>
    <mergeCell ref="Q48:R48"/>
    <mergeCell ref="U48:V48"/>
    <mergeCell ref="AA48:AB48"/>
    <mergeCell ref="AE48:AF48"/>
    <mergeCell ref="AK48:AL48"/>
    <mergeCell ref="AO48:AP48"/>
    <mergeCell ref="AQ44:AR45"/>
    <mergeCell ref="K45:L45"/>
    <mergeCell ref="M45:N45"/>
    <mergeCell ref="O45:P45"/>
    <mergeCell ref="S45:T45"/>
    <mergeCell ref="W45:X45"/>
    <mergeCell ref="Y45:Z45"/>
    <mergeCell ref="AC45:AD45"/>
    <mergeCell ref="AG45:AH45"/>
    <mergeCell ref="AI45:AJ45"/>
    <mergeCell ref="AM45:AN45"/>
    <mergeCell ref="AK43:AL43"/>
    <mergeCell ref="AM43:AN43"/>
    <mergeCell ref="AO43:AP43"/>
    <mergeCell ref="F44:F49"/>
    <mergeCell ref="M44:N44"/>
    <mergeCell ref="O44:P44"/>
    <mergeCell ref="S44:T44"/>
    <mergeCell ref="W44:X44"/>
    <mergeCell ref="Y44:Z44"/>
    <mergeCell ref="AC44:AD44"/>
    <mergeCell ref="Y43:Z43"/>
    <mergeCell ref="AA43:AB43"/>
    <mergeCell ref="AC43:AD43"/>
    <mergeCell ref="AE43:AF43"/>
    <mergeCell ref="AG43:AH43"/>
    <mergeCell ref="AI43:AJ43"/>
    <mergeCell ref="AG44:AH44"/>
    <mergeCell ref="AI44:AJ44"/>
    <mergeCell ref="AM44:AN44"/>
    <mergeCell ref="M47:N47"/>
    <mergeCell ref="Q47:R47"/>
    <mergeCell ref="U47:V47"/>
    <mergeCell ref="AA47:AB47"/>
    <mergeCell ref="AE47:AF47"/>
    <mergeCell ref="M43:N43"/>
    <mergeCell ref="O43:P43"/>
    <mergeCell ref="Q43:R43"/>
    <mergeCell ref="S43:T43"/>
    <mergeCell ref="U43:V43"/>
    <mergeCell ref="W43:X43"/>
    <mergeCell ref="W42:X42"/>
    <mergeCell ref="Y42:Z42"/>
    <mergeCell ref="AA42:AB42"/>
    <mergeCell ref="BA38:BC38"/>
    <mergeCell ref="M42:N42"/>
    <mergeCell ref="O42:P42"/>
    <mergeCell ref="Q42:R42"/>
    <mergeCell ref="S42:T42"/>
    <mergeCell ref="U42:V42"/>
    <mergeCell ref="AI42:AJ42"/>
    <mergeCell ref="AK42:AL42"/>
    <mergeCell ref="AM42:AN42"/>
    <mergeCell ref="AO42:AP42"/>
    <mergeCell ref="AC42:AD42"/>
    <mergeCell ref="AE42:AF42"/>
    <mergeCell ref="AG42:AH42"/>
    <mergeCell ref="AM32:AN32"/>
    <mergeCell ref="BC32:BE32"/>
    <mergeCell ref="BH32:BJ32"/>
    <mergeCell ref="BO32:BP32"/>
    <mergeCell ref="A33:S37"/>
    <mergeCell ref="AH33:AJ33"/>
    <mergeCell ref="AK33:AN33"/>
    <mergeCell ref="BA33:BC33"/>
    <mergeCell ref="BH33:BJ33"/>
    <mergeCell ref="BO33:BP33"/>
    <mergeCell ref="V34:AG34"/>
    <mergeCell ref="AH34:AJ34"/>
    <mergeCell ref="BA34:BC34"/>
    <mergeCell ref="BO34:BP34"/>
    <mergeCell ref="U35:Y36"/>
    <mergeCell ref="BA35:BC35"/>
    <mergeCell ref="BH35:BJ35"/>
    <mergeCell ref="BO35:BP35"/>
    <mergeCell ref="AD36:AE36"/>
    <mergeCell ref="AM36:AN36"/>
    <mergeCell ref="BA36:BC36"/>
    <mergeCell ref="BH36:BJ36"/>
    <mergeCell ref="AM37:AN37"/>
    <mergeCell ref="BA37:BC37"/>
    <mergeCell ref="D30:O30"/>
    <mergeCell ref="P30:Q30"/>
    <mergeCell ref="R30:S30"/>
    <mergeCell ref="BH30:BJ30"/>
    <mergeCell ref="BO30:BP30"/>
    <mergeCell ref="AM31:AN31"/>
    <mergeCell ref="BC31:BE31"/>
    <mergeCell ref="BH31:BJ31"/>
    <mergeCell ref="BO31:BP31"/>
    <mergeCell ref="P28:Q28"/>
    <mergeCell ref="BC28:BD28"/>
    <mergeCell ref="BF28:BG28"/>
    <mergeCell ref="P29:Q29"/>
    <mergeCell ref="U29:V29"/>
    <mergeCell ref="BI29:BJ29"/>
    <mergeCell ref="G26:K27"/>
    <mergeCell ref="P26:Q26"/>
    <mergeCell ref="V26:W26"/>
    <mergeCell ref="BH26:BJ26"/>
    <mergeCell ref="BO26:BP26"/>
    <mergeCell ref="P27:Q27"/>
    <mergeCell ref="R27:S27"/>
    <mergeCell ref="AG27:AH27"/>
    <mergeCell ref="P25:Q25"/>
    <mergeCell ref="AE25:AF25"/>
    <mergeCell ref="AG25:AJ25"/>
    <mergeCell ref="AK25:AN25"/>
    <mergeCell ref="AO25:AP25"/>
    <mergeCell ref="BO25:BP25"/>
    <mergeCell ref="L24:M24"/>
    <mergeCell ref="AB24:AC24"/>
    <mergeCell ref="AD24:AH24"/>
    <mergeCell ref="AJ24:AK24"/>
    <mergeCell ref="AM24:AN24"/>
    <mergeCell ref="AP24:AQ24"/>
    <mergeCell ref="BU22:CA23"/>
    <mergeCell ref="I23:J23"/>
    <mergeCell ref="U23:W23"/>
    <mergeCell ref="AA23:AC23"/>
    <mergeCell ref="AD23:AH23"/>
    <mergeCell ref="AJ23:AK23"/>
    <mergeCell ref="AM23:AN23"/>
    <mergeCell ref="AP23:AQ23"/>
    <mergeCell ref="BC23:BF23"/>
    <mergeCell ref="BB21:BF21"/>
    <mergeCell ref="I22:J22"/>
    <mergeCell ref="V22:AD22"/>
    <mergeCell ref="AI22:AK22"/>
    <mergeCell ref="AL22:AN22"/>
    <mergeCell ref="AO22:AQ22"/>
    <mergeCell ref="BC22:BE22"/>
    <mergeCell ref="BF22:BH22"/>
    <mergeCell ref="G21:O21"/>
    <mergeCell ref="V21:Z21"/>
    <mergeCell ref="AA21:AB21"/>
    <mergeCell ref="AC21:AD21"/>
    <mergeCell ref="AE21:AF21"/>
    <mergeCell ref="AG21:AL21"/>
    <mergeCell ref="BX19:BY20"/>
    <mergeCell ref="BZ19:CA20"/>
    <mergeCell ref="A20:B20"/>
    <mergeCell ref="V20:W20"/>
    <mergeCell ref="BA20:BE20"/>
    <mergeCell ref="BF20:BH20"/>
    <mergeCell ref="AP18:AQ18"/>
    <mergeCell ref="BB18:BF18"/>
    <mergeCell ref="BO18:BQ18"/>
    <mergeCell ref="BR18:BS18"/>
    <mergeCell ref="AE19:AF19"/>
    <mergeCell ref="AG19:AJ19"/>
    <mergeCell ref="AK19:AN19"/>
    <mergeCell ref="AO19:AP19"/>
    <mergeCell ref="BB17:BD17"/>
    <mergeCell ref="BE17:BG17"/>
    <mergeCell ref="BH17:BJ17"/>
    <mergeCell ref="BO17:BS17"/>
    <mergeCell ref="BU17:CB18"/>
    <mergeCell ref="D18:E18"/>
    <mergeCell ref="O18:P18"/>
    <mergeCell ref="R18:S18"/>
    <mergeCell ref="AB18:AC18"/>
    <mergeCell ref="AD18:AH18"/>
    <mergeCell ref="AA17:AC17"/>
    <mergeCell ref="AD17:AH17"/>
    <mergeCell ref="AJ17:AK17"/>
    <mergeCell ref="AM17:AN17"/>
    <mergeCell ref="AP17:AQ17"/>
    <mergeCell ref="N16:N18"/>
    <mergeCell ref="O16:P16"/>
    <mergeCell ref="R16:S16"/>
    <mergeCell ref="V16:AD16"/>
    <mergeCell ref="AI16:AK16"/>
    <mergeCell ref="AL16:AN16"/>
    <mergeCell ref="AJ18:AK18"/>
    <mergeCell ref="AM18:AN18"/>
    <mergeCell ref="BU14:BY14"/>
    <mergeCell ref="CD14:CH14"/>
    <mergeCell ref="CM14:CQ14"/>
    <mergeCell ref="A15:H16"/>
    <mergeCell ref="K15:M18"/>
    <mergeCell ref="O15:P15"/>
    <mergeCell ref="R15:S15"/>
    <mergeCell ref="V15:Z15"/>
    <mergeCell ref="AA15:AB15"/>
    <mergeCell ref="AC15:AD15"/>
    <mergeCell ref="Q14:R14"/>
    <mergeCell ref="U14:V14"/>
    <mergeCell ref="BA14:BD14"/>
    <mergeCell ref="BE14:BG14"/>
    <mergeCell ref="BH14:BJ14"/>
    <mergeCell ref="BO14:BS15"/>
    <mergeCell ref="AE15:AF15"/>
    <mergeCell ref="AG15:AL15"/>
    <mergeCell ref="BB15:BF15"/>
    <mergeCell ref="AO16:AQ16"/>
    <mergeCell ref="D17:E17"/>
    <mergeCell ref="O17:P17"/>
    <mergeCell ref="R17:S17"/>
    <mergeCell ref="U17:W17"/>
    <mergeCell ref="CN8:CN13"/>
    <mergeCell ref="F9:G9"/>
    <mergeCell ref="H9:I9"/>
    <mergeCell ref="J9:K9"/>
    <mergeCell ref="L9:M9"/>
    <mergeCell ref="N9:O9"/>
    <mergeCell ref="P9:S9"/>
    <mergeCell ref="AM9:AN9"/>
    <mergeCell ref="AP9:AQ9"/>
    <mergeCell ref="F10:G10"/>
    <mergeCell ref="F11:G11"/>
    <mergeCell ref="H11:I11"/>
    <mergeCell ref="J10:K10"/>
    <mergeCell ref="L10:M10"/>
    <mergeCell ref="N10:O10"/>
    <mergeCell ref="Q12:R12"/>
    <mergeCell ref="F13:G13"/>
    <mergeCell ref="H13:I13"/>
    <mergeCell ref="J13:K13"/>
    <mergeCell ref="L13:M13"/>
    <mergeCell ref="N13:O13"/>
    <mergeCell ref="Q13:R13"/>
    <mergeCell ref="F12:G12"/>
    <mergeCell ref="H12:I12"/>
    <mergeCell ref="CR3:CT3"/>
    <mergeCell ref="E4:M4"/>
    <mergeCell ref="P4:X4"/>
    <mergeCell ref="AI4:AN4"/>
    <mergeCell ref="AR4:AX4"/>
    <mergeCell ref="BU4:BU6"/>
    <mergeCell ref="BU2:BW3"/>
    <mergeCell ref="BX2:BX5"/>
    <mergeCell ref="CD2:CF3"/>
    <mergeCell ref="CG2:CG5"/>
    <mergeCell ref="CM2:CO3"/>
    <mergeCell ref="CP2:CP5"/>
    <mergeCell ref="CD4:CD6"/>
    <mergeCell ref="CM4:CM6"/>
    <mergeCell ref="AE1:AF2"/>
    <mergeCell ref="AG1:AL2"/>
    <mergeCell ref="AP1:AQ1"/>
    <mergeCell ref="AR1:AX2"/>
    <mergeCell ref="BO2:BS6"/>
    <mergeCell ref="BZ3:CB3"/>
    <mergeCell ref="CI3:CK3"/>
    <mergeCell ref="BZ6:CB6"/>
    <mergeCell ref="CI6:CK6"/>
    <mergeCell ref="CR6:CT6"/>
    <mergeCell ref="A5:B5"/>
    <mergeCell ref="U5:V5"/>
    <mergeCell ref="G6:H6"/>
    <mergeCell ref="AR6:AX9"/>
    <mergeCell ref="Y3:Z4"/>
    <mergeCell ref="AA3:AD4"/>
    <mergeCell ref="AI3:AN3"/>
    <mergeCell ref="BH37:BJ37"/>
    <mergeCell ref="AR3:AX3"/>
    <mergeCell ref="BA3:BL9"/>
    <mergeCell ref="AD7:AE7"/>
    <mergeCell ref="AM7:AN7"/>
    <mergeCell ref="AP7:AQ7"/>
    <mergeCell ref="A8:E9"/>
    <mergeCell ref="F8:I8"/>
    <mergeCell ref="J8:S8"/>
    <mergeCell ref="AD8:AE8"/>
    <mergeCell ref="AM8:AN8"/>
    <mergeCell ref="AP8:AQ8"/>
    <mergeCell ref="A11:C11"/>
    <mergeCell ref="D11:E11"/>
    <mergeCell ref="A13:C13"/>
    <mergeCell ref="D13:E13"/>
    <mergeCell ref="A12:C12"/>
    <mergeCell ref="BV8:BV13"/>
    <mergeCell ref="CE8:CE13"/>
    <mergeCell ref="D10:E10"/>
    <mergeCell ref="H10:I10"/>
    <mergeCell ref="P10:S10"/>
    <mergeCell ref="AD10:AE10"/>
    <mergeCell ref="BA10:BL12"/>
    <mergeCell ref="N11:O11"/>
    <mergeCell ref="Q11:R11"/>
    <mergeCell ref="AD11:AE11"/>
    <mergeCell ref="N12:O12"/>
    <mergeCell ref="J11:K11"/>
    <mergeCell ref="L11:M11"/>
    <mergeCell ref="D12:E12"/>
    <mergeCell ref="J12:K12"/>
    <mergeCell ref="L12:M12"/>
  </mergeCells>
  <conditionalFormatting sqref="AD10 AD8:AE8">
    <cfRule type="expression" dxfId="184" priority="43">
      <formula>$AD$10&gt;$AD$8</formula>
    </cfRule>
  </conditionalFormatting>
  <conditionalFormatting sqref="Q13">
    <cfRule type="cellIs" dxfId="183" priority="41" operator="equal">
      <formula>0</formula>
    </cfRule>
  </conditionalFormatting>
  <conditionalFormatting sqref="F13 H13:O13 Q13">
    <cfRule type="expression" dxfId="182" priority="44">
      <formula>$A$13=""</formula>
    </cfRule>
  </conditionalFormatting>
  <conditionalFormatting sqref="F13:O13 Q13">
    <cfRule type="expression" dxfId="181" priority="45">
      <formula>$A$13=""</formula>
    </cfRule>
  </conditionalFormatting>
  <conditionalFormatting sqref="D18:E18 BX19 AM32:AN32 I22:J22 BC32 AM36:AN37">
    <cfRule type="expression" dxfId="180" priority="46">
      <formula>$D$17&gt;$D$18</formula>
    </cfRule>
  </conditionalFormatting>
  <conditionalFormatting sqref="D17:F17">
    <cfRule type="expression" dxfId="179" priority="47">
      <formula>$D$18&lt;$D$17</formula>
    </cfRule>
  </conditionalFormatting>
  <conditionalFormatting sqref="R16:S17 O16:P17">
    <cfRule type="cellIs" dxfId="178" priority="40" operator="equal">
      <formula>0</formula>
    </cfRule>
  </conditionalFormatting>
  <conditionalFormatting sqref="AJ17:AK18 AJ23:AK24">
    <cfRule type="expression" dxfId="177" priority="39">
      <formula>$AJ$17&gt;$D$11</formula>
    </cfRule>
  </conditionalFormatting>
  <conditionalFormatting sqref="AM17:AN18 AP17:AQ18 AM23:AN24 AP23:AQ24">
    <cfRule type="expression" dxfId="176" priority="38">
      <formula>$AM$17&gt;$D$12</formula>
    </cfRule>
  </conditionalFormatting>
  <conditionalFormatting sqref="P13 S13">
    <cfRule type="expression" dxfId="175" priority="37">
      <formula>$A$13=""</formula>
    </cfRule>
  </conditionalFormatting>
  <conditionalFormatting sqref="D13:E13">
    <cfRule type="expression" dxfId="174" priority="35">
      <formula>$A$13=""</formula>
    </cfRule>
    <cfRule type="expression" dxfId="173" priority="36">
      <formula>$A$13=""</formula>
    </cfRule>
  </conditionalFormatting>
  <conditionalFormatting sqref="I23:J23">
    <cfRule type="expression" dxfId="172" priority="34">
      <formula>$I$23&gt;$AD$11</formula>
    </cfRule>
  </conditionalFormatting>
  <conditionalFormatting sqref="AC21:AD21">
    <cfRule type="expression" dxfId="171" priority="11">
      <formula>$AG$27&gt;0</formula>
    </cfRule>
    <cfRule type="cellIs" dxfId="170" priority="33" operator="equal">
      <formula>0</formula>
    </cfRule>
  </conditionalFormatting>
  <conditionalFormatting sqref="AI27">
    <cfRule type="expression" dxfId="169" priority="32">
      <formula>$AG$27=0</formula>
    </cfRule>
  </conditionalFormatting>
  <conditionalFormatting sqref="V20:X20">
    <cfRule type="expression" dxfId="168" priority="17">
      <formula>$V$20&gt;1</formula>
    </cfRule>
    <cfRule type="expression" dxfId="167" priority="31">
      <formula>$V$16=$BO$7</formula>
    </cfRule>
  </conditionalFormatting>
  <conditionalFormatting sqref="V26:W26">
    <cfRule type="expression" dxfId="166" priority="16">
      <formula>$V$26&gt;1</formula>
    </cfRule>
    <cfRule type="expression" dxfId="165" priority="22">
      <formula>$V$22=$BO$7</formula>
    </cfRule>
  </conditionalFormatting>
  <conditionalFormatting sqref="X26">
    <cfRule type="expression" dxfId="164" priority="15">
      <formula>$V$26&gt;1</formula>
    </cfRule>
    <cfRule type="expression" dxfId="163" priority="21">
      <formula>$V$22=$BO$7</formula>
    </cfRule>
    <cfRule type="expression" dxfId="162" priority="30">
      <formula>$V$20&gt;1</formula>
    </cfRule>
  </conditionalFormatting>
  <conditionalFormatting sqref="AJ18:AK18">
    <cfRule type="expression" dxfId="161" priority="20">
      <formula>$V$16=$BO$7</formula>
    </cfRule>
    <cfRule type="cellIs" dxfId="160" priority="29" operator="greaterThan">
      <formula>$AJ$17</formula>
    </cfRule>
  </conditionalFormatting>
  <conditionalFormatting sqref="AM18:AN18">
    <cfRule type="expression" dxfId="159" priority="19">
      <formula>$V$16=$BO$7</formula>
    </cfRule>
    <cfRule type="cellIs" dxfId="158" priority="28" operator="greaterThan">
      <formula>$AM$17</formula>
    </cfRule>
  </conditionalFormatting>
  <conditionalFormatting sqref="AP18:AQ18">
    <cfRule type="expression" dxfId="157" priority="25">
      <formula>$AO$16=""</formula>
    </cfRule>
    <cfRule type="cellIs" dxfId="156" priority="27" operator="greaterThan">
      <formula>$AP$17</formula>
    </cfRule>
  </conditionalFormatting>
  <conditionalFormatting sqref="AP17:AQ17">
    <cfRule type="expression" dxfId="155" priority="26">
      <formula>$AO$16=""</formula>
    </cfRule>
  </conditionalFormatting>
  <conditionalFormatting sqref="AP23:AQ23">
    <cfRule type="expression" dxfId="154" priority="24">
      <formula>$AO$22=""</formula>
    </cfRule>
  </conditionalFormatting>
  <conditionalFormatting sqref="AP24:AQ24">
    <cfRule type="expression" dxfId="153" priority="23">
      <formula>$AO$22=""</formula>
    </cfRule>
  </conditionalFormatting>
  <conditionalFormatting sqref="AJ24:AK24 AM24:AN24">
    <cfRule type="expression" dxfId="152" priority="18">
      <formula>$V$22=$BO$7</formula>
    </cfRule>
  </conditionalFormatting>
  <conditionalFormatting sqref="A22:S30">
    <cfRule type="expression" dxfId="151" priority="14">
      <formula>$G$21=""</formula>
    </cfRule>
  </conditionalFormatting>
  <conditionalFormatting sqref="U30:AQ32 U35:AC35 AF35:AH35 BH32 BC32 U36:AQ37 U33:U34 AL35:AQ35 U16:AQ16 U19:AQ20 U17 W18:X18 Z17:AQ18 X17">
    <cfRule type="expression" dxfId="150" priority="13">
      <formula>$AG$15=""</formula>
    </cfRule>
  </conditionalFormatting>
  <conditionalFormatting sqref="U26:AQ26 W25:AC25 AE25:AF25 U22:AQ22 U24:U25 W24:X24 Z23:AQ24 X23 AK25:AQ25">
    <cfRule type="expression" dxfId="149" priority="12">
      <formula>$AG$21=""</formula>
    </cfRule>
  </conditionalFormatting>
  <conditionalFormatting sqref="BC31">
    <cfRule type="expression" dxfId="148" priority="9">
      <formula>$AG$15=""</formula>
    </cfRule>
  </conditionalFormatting>
  <conditionalFormatting sqref="BC31">
    <cfRule type="expression" dxfId="147" priority="10">
      <formula>$D$17&gt;$D$18</formula>
    </cfRule>
  </conditionalFormatting>
  <conditionalFormatting sqref="AG27:AQ27">
    <cfRule type="expression" dxfId="146" priority="48">
      <formula>$G$6&gt;$U$27</formula>
    </cfRule>
  </conditionalFormatting>
  <conditionalFormatting sqref="AG27:AH27">
    <cfRule type="cellIs" dxfId="145" priority="49" operator="equal">
      <formula>0</formula>
    </cfRule>
    <cfRule type="expression" dxfId="144" priority="50">
      <formula>$G$6&gt;$U$27</formula>
    </cfRule>
  </conditionalFormatting>
  <conditionalFormatting sqref="AH33:AJ33">
    <cfRule type="expression" dxfId="143" priority="8">
      <formula>$AG$21=""</formula>
    </cfRule>
  </conditionalFormatting>
  <conditionalFormatting sqref="AH37:AQ37">
    <cfRule type="expression" dxfId="142" priority="51">
      <formula>$BX$19&lt;$AM$31</formula>
    </cfRule>
  </conditionalFormatting>
  <conditionalFormatting sqref="D30:S30">
    <cfRule type="expression" dxfId="141" priority="52">
      <formula>$R$18&gt;$CB$22</formula>
    </cfRule>
  </conditionalFormatting>
  <conditionalFormatting sqref="V25">
    <cfRule type="expression" dxfId="140" priority="7">
      <formula>$AG$15=""</formula>
    </cfRule>
  </conditionalFormatting>
  <conditionalFormatting sqref="AD25">
    <cfRule type="expression" dxfId="139" priority="5">
      <formula>$AC$21=""</formula>
    </cfRule>
    <cfRule type="expression" dxfId="138" priority="6">
      <formula>$AG$15=""</formula>
    </cfRule>
  </conditionalFormatting>
  <conditionalFormatting sqref="AG21:AQ21">
    <cfRule type="expression" dxfId="137" priority="4">
      <formula>$AC$21=""</formula>
    </cfRule>
  </conditionalFormatting>
  <conditionalFormatting sqref="U23">
    <cfRule type="expression" dxfId="136" priority="3">
      <formula>$AG$15=""</formula>
    </cfRule>
  </conditionalFormatting>
  <conditionalFormatting sqref="U22:AQ24 U26:AQ26 U25:AF25 AK25:AQ25">
    <cfRule type="expression" dxfId="135" priority="2">
      <formula>$AC$21=""</formula>
    </cfRule>
  </conditionalFormatting>
  <conditionalFormatting sqref="AG25:AJ25">
    <cfRule type="expression" dxfId="134" priority="1">
      <formula>$AG$15=""</formula>
    </cfRule>
  </conditionalFormatting>
  <dataValidations count="10">
    <dataValidation type="list" errorStyle="information" allowBlank="1" showInputMessage="1" showErrorMessage="1" errorTitle="Eingene Eingabe gewählt" promptTitle="Eingabeauswahl " prompt="Freie Eingabe oder Vorschlag ausgewählen:_x000a_1. Leistung der Anlagen, Typ 1_x000a_2. Leistung der anlagen Typ 2_x000a_3 erforderl. Leistung aus Abschnitt 3 Speicxherladesystem_x000a_4 max. mögliche Anschlussleistung _x000a_5 Addition der Anlagen Typ 1 und Typ 2_x000a_" sqref="AH33:AJ33" xr:uid="{00000000-0002-0000-0300-000000000000}">
      <formula1>$BA$32:$BA$38</formula1>
    </dataValidation>
    <dataValidation type="whole" allowBlank="1" showInputMessage="1" showErrorMessage="1" errorTitle="Temperatur zu hoch / zu niedrig" error="Diese Temperatur ist zu niedrig, sie reicht nicht aus um die Entnahmestellen ausreichend zu versorgern  oder_x000a_Diese Temperatur ist zu hoch gewählt, sie steht nicht ganzjährig zur Verfügung!" sqref="BC28" xr:uid="{00000000-0002-0000-0300-000001000000}">
      <formula1>Q29</formula1>
      <formula2>BF27</formula2>
    </dataValidation>
    <dataValidation type="list" allowBlank="1" showInputMessage="1" showErrorMessage="1" sqref="AK19 AK25" xr:uid="{00000000-0002-0000-0300-000002000000}">
      <formula1>$BU$28:$BU$33</formula1>
    </dataValidation>
    <dataValidation type="whole" allowBlank="1" showInputMessage="1" showErrorMessage="1" errorTitle="Temperatur zu hoch / zu niedrig" error="Diese Temperatur ist zu niedrig, sie reicht nicht aus um die Entnahmestellen ausreichend zu versorgern  oder_x000a_Diese Temperatur ist zu hoch gewählt, sie steht nicht ganzjährig zur Verfügung!" sqref="AM9" xr:uid="{00000000-0002-0000-0300-000003000000}">
      <formula1>C10</formula1>
      <formula2>AP8</formula2>
    </dataValidation>
    <dataValidation type="list" allowBlank="1" showInputMessage="1" showErrorMessage="1" sqref="AE19:AF19 AE25:AF25" xr:uid="{00000000-0002-0000-0300-000004000000}">
      <formula1>$Q$16:$Q$18</formula1>
    </dataValidation>
    <dataValidation type="whole" allowBlank="1" showInputMessage="1" showErrorMessage="1" errorTitle="Wert zu hoch!" error="Sie überschreiten den maximalen Wert den Sie mit dem Heizkreis vorgegeben haben!" sqref="J23" xr:uid="{00000000-0002-0000-0300-000005000000}">
      <formula1>BQ18</formula1>
      <formula2>#REF!</formula2>
    </dataValidation>
    <dataValidation type="list" allowBlank="1" showInputMessage="1" showErrorMessage="1" sqref="V22:AD22 V16:AD16" xr:uid="{00000000-0002-0000-0300-000006000000}">
      <formula1>$BO$6:$BO$13</formula1>
    </dataValidation>
    <dataValidation type="list" allowBlank="1" showInputMessage="1" showErrorMessage="1" sqref="G21" xr:uid="{00000000-0002-0000-0300-000007000000}">
      <formula1>$BO$8:$BO$13</formula1>
    </dataValidation>
    <dataValidation type="whole" allowBlank="1" showInputMessage="1" showErrorMessage="1" errorTitle="Wert zu hoch!" error="Sie überschreiten den maximalen Wert den Sie mit dem Heizkreis vorgegeben haben!" sqref="I23" xr:uid="{00000000-0002-0000-0300-000008000000}">
      <formula1>BO18</formula1>
      <formula2>BR18</formula2>
    </dataValidation>
    <dataValidation type="list" errorStyle="information" allowBlank="1" showInputMessage="1" showErrorMessage="1" error="Eingabe ist ist nicht aus der Vorschlagstabelle" sqref="AG15 AG21" xr:uid="{00000000-0002-0000-0300-000009000000}">
      <formula1>$BO$20:$BO$23</formula1>
    </dataValidation>
  </dataValidations>
  <printOptions horizontalCentered="1"/>
  <pageMargins left="0.39370078740157483" right="0.39370078740157483" top="0.59055118110236227" bottom="0.59055118110236227" header="0.31496062992125984" footer="0.31496062992125984"/>
  <pageSetup paperSize="9" orientation="landscape" r:id="rId1"/>
  <headerFooter>
    <oddFooter>&amp;L&amp;8&amp;Z&amp;F</oddFooter>
  </headerFooter>
  <colBreaks count="1" manualBreakCount="1">
    <brk id="50" max="38" man="1"/>
  </colBreaks>
  <ignoredErrors>
    <ignoredError sqref="Q42:AP42"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ET145"/>
  <sheetViews>
    <sheetView showGridLines="0" zoomScale="110" zoomScaleNormal="110" zoomScaleSheetLayoutView="120" zoomScalePageLayoutView="90" workbookViewId="0">
      <selection activeCell="AD7" sqref="AD7:AE7"/>
    </sheetView>
  </sheetViews>
  <sheetFormatPr baseColWidth="10" defaultColWidth="2.6640625" defaultRowHeight="13.2" customHeight="1"/>
  <cols>
    <col min="1" max="4" width="2.6640625" style="123" customWidth="1"/>
    <col min="5" max="6" width="2.6640625" style="123"/>
    <col min="7" max="7" width="2.6640625" style="123" customWidth="1"/>
    <col min="8" max="9" width="2.6640625" style="123"/>
    <col min="10" max="10" width="2.6640625" style="123" customWidth="1"/>
    <col min="11" max="11" width="2.6640625" style="123"/>
    <col min="12" max="14" width="2.6640625" style="123" customWidth="1"/>
    <col min="15" max="16" width="2.6640625" style="292" customWidth="1"/>
    <col min="17" max="18" width="2.6640625" style="292"/>
    <col min="19" max="19" width="2.6640625" style="123" customWidth="1"/>
    <col min="20" max="20" width="2.6640625" style="123"/>
    <col min="21" max="32" width="2.6640625" style="123" customWidth="1"/>
    <col min="33" max="34" width="2.6640625" style="123"/>
    <col min="35" max="35" width="2.6640625" style="123" customWidth="1"/>
    <col min="36" max="36" width="2.6640625" style="123"/>
    <col min="37" max="40" width="2.6640625" style="123" customWidth="1"/>
    <col min="41" max="41" width="2.6640625" style="123"/>
    <col min="42" max="42" width="3" style="123" bestFit="1" customWidth="1"/>
    <col min="43" max="44" width="2.6640625" style="123" customWidth="1"/>
    <col min="45" max="47" width="2.6640625" style="123"/>
    <col min="48" max="48" width="2.6640625" style="123" customWidth="1"/>
    <col min="49" max="49" width="3.5546875" style="123" customWidth="1"/>
    <col min="50" max="50" width="2.6640625" style="123"/>
    <col min="51" max="51" width="25.33203125" style="121" customWidth="1"/>
    <col min="52" max="67" width="2.6640625" style="121" customWidth="1"/>
    <col min="68" max="68" width="4.109375" style="121" customWidth="1"/>
    <col min="69" max="69" width="4.33203125" style="121" customWidth="1"/>
    <col min="70" max="70" width="10.33203125" style="121" customWidth="1"/>
    <col min="71" max="71" width="5.6640625" style="121" customWidth="1"/>
    <col min="72" max="72" width="2.6640625" style="121" customWidth="1"/>
    <col min="73" max="73" width="3.6640625" style="121" customWidth="1"/>
    <col min="74" max="75" width="5.6640625" style="121" customWidth="1"/>
    <col min="76" max="76" width="4.6640625" style="121" customWidth="1"/>
    <col min="77" max="80" width="6.6640625" style="121" customWidth="1"/>
    <col min="81" max="81" width="2.6640625" style="121" customWidth="1"/>
    <col min="82" max="82" width="3.6640625" style="121" customWidth="1"/>
    <col min="83" max="84" width="5.6640625" style="121" customWidth="1"/>
    <col min="85" max="85" width="4.6640625" style="122" customWidth="1"/>
    <col min="86" max="89" width="6.6640625" style="122" customWidth="1"/>
    <col min="90" max="90" width="2.6640625" style="122" customWidth="1"/>
    <col min="91" max="91" width="3.6640625" style="122" customWidth="1"/>
    <col min="92" max="93" width="5.6640625" style="122" customWidth="1"/>
    <col min="94" max="94" width="4.6640625" style="122" customWidth="1"/>
    <col min="95" max="98" width="6.6640625" style="122" customWidth="1"/>
    <col min="99" max="150" width="2.6640625" style="122"/>
    <col min="151" max="16384" width="2.6640625" style="123"/>
  </cols>
  <sheetData>
    <row r="1" spans="1:150" ht="13.5" customHeight="1" thickBot="1">
      <c r="A1" s="1099" t="s">
        <v>259</v>
      </c>
      <c r="B1" s="1100"/>
      <c r="C1" s="1100"/>
      <c r="D1" s="1100"/>
      <c r="E1" s="1100"/>
      <c r="F1" s="1100"/>
      <c r="G1" s="1100"/>
      <c r="H1" s="1100"/>
      <c r="I1" s="1100"/>
      <c r="J1" s="1100"/>
      <c r="K1" s="1100"/>
      <c r="L1" s="1100"/>
      <c r="M1" s="1100"/>
      <c r="N1" s="1100"/>
      <c r="O1" s="1100"/>
      <c r="P1" s="1100"/>
      <c r="Q1" s="1100"/>
      <c r="R1" s="1100"/>
      <c r="S1" s="1100"/>
      <c r="T1" s="1100"/>
      <c r="U1" s="1100"/>
      <c r="V1" s="1100"/>
      <c r="W1" s="1100"/>
      <c r="X1" s="1101"/>
      <c r="Y1" s="1"/>
      <c r="Z1" s="2"/>
      <c r="AA1" s="2"/>
      <c r="AB1" s="3"/>
      <c r="AC1" s="3"/>
      <c r="AD1" s="4"/>
      <c r="AE1" s="787">
        <v>1.163</v>
      </c>
      <c r="AF1" s="788"/>
      <c r="AG1" s="791" t="s">
        <v>110</v>
      </c>
      <c r="AH1" s="791"/>
      <c r="AI1" s="791"/>
      <c r="AJ1" s="791"/>
      <c r="AK1" s="791"/>
      <c r="AL1" s="791"/>
      <c r="AM1" s="62"/>
      <c r="AN1" s="119"/>
      <c r="AO1" s="119"/>
      <c r="AP1" s="793" t="s">
        <v>190</v>
      </c>
      <c r="AQ1" s="794"/>
      <c r="AR1" s="1191" t="s">
        <v>2</v>
      </c>
      <c r="AS1" s="1191"/>
      <c r="AT1" s="1191"/>
      <c r="AU1" s="1191"/>
      <c r="AV1" s="1191"/>
      <c r="AW1" s="1191"/>
      <c r="AX1" s="119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row>
    <row r="2" spans="1:150" ht="13.5" customHeight="1" thickBot="1">
      <c r="A2" s="1102"/>
      <c r="B2" s="1103"/>
      <c r="C2" s="1103"/>
      <c r="D2" s="1103"/>
      <c r="E2" s="1103"/>
      <c r="F2" s="1103"/>
      <c r="G2" s="1103"/>
      <c r="H2" s="1103"/>
      <c r="I2" s="1103"/>
      <c r="J2" s="1103"/>
      <c r="K2" s="1103"/>
      <c r="L2" s="1103"/>
      <c r="M2" s="1103"/>
      <c r="N2" s="1103"/>
      <c r="O2" s="1103"/>
      <c r="P2" s="1103"/>
      <c r="Q2" s="1103"/>
      <c r="R2" s="1103"/>
      <c r="S2" s="1103"/>
      <c r="T2" s="1103"/>
      <c r="U2" s="1103"/>
      <c r="V2" s="1103"/>
      <c r="W2" s="1103"/>
      <c r="X2" s="1104"/>
      <c r="Y2" s="5"/>
      <c r="Z2" s="6"/>
      <c r="AA2" s="118" t="s">
        <v>189</v>
      </c>
      <c r="AB2" s="7"/>
      <c r="AC2" s="7"/>
      <c r="AD2" s="8"/>
      <c r="AE2" s="789"/>
      <c r="AF2" s="790"/>
      <c r="AG2" s="792"/>
      <c r="AH2" s="792"/>
      <c r="AI2" s="792"/>
      <c r="AJ2" s="792"/>
      <c r="AK2" s="792"/>
      <c r="AL2" s="792"/>
      <c r="AM2" s="63"/>
      <c r="AN2" s="125"/>
      <c r="AO2" s="125"/>
      <c r="AP2" s="635">
        <v>1</v>
      </c>
      <c r="AQ2" s="568">
        <v>25</v>
      </c>
      <c r="AR2" s="1193"/>
      <c r="AS2" s="1193"/>
      <c r="AT2" s="1193"/>
      <c r="AU2" s="1193"/>
      <c r="AV2" s="1193"/>
      <c r="AW2" s="1193"/>
      <c r="AX2" s="1194"/>
      <c r="AY2" s="122"/>
      <c r="AZ2" s="601" t="s">
        <v>226</v>
      </c>
      <c r="BA2" s="602"/>
      <c r="BB2" s="602"/>
      <c r="BC2" s="602"/>
      <c r="BD2" s="602"/>
      <c r="BE2" s="602"/>
      <c r="BF2" s="602"/>
      <c r="BG2" s="603"/>
      <c r="BH2" s="603"/>
      <c r="BI2" s="603"/>
      <c r="BJ2" s="603"/>
      <c r="BK2" s="603"/>
      <c r="BL2" s="604"/>
      <c r="BM2" s="122"/>
      <c r="BN2" s="122"/>
      <c r="BO2" s="799" t="s">
        <v>214</v>
      </c>
      <c r="BP2" s="800"/>
      <c r="BQ2" s="800"/>
      <c r="BR2" s="800"/>
      <c r="BS2" s="801"/>
      <c r="BT2" s="122"/>
      <c r="BU2" s="778" t="s">
        <v>142</v>
      </c>
      <c r="BV2" s="779"/>
      <c r="BW2" s="780"/>
      <c r="BX2" s="784" t="s">
        <v>210</v>
      </c>
      <c r="BY2" s="126"/>
      <c r="BZ2" s="258"/>
      <c r="CA2" s="126" t="s">
        <v>213</v>
      </c>
      <c r="CB2" s="457">
        <f>N16</f>
        <v>10</v>
      </c>
      <c r="CC2" s="122"/>
      <c r="CD2" s="778" t="s">
        <v>209</v>
      </c>
      <c r="CE2" s="779"/>
      <c r="CF2" s="780"/>
      <c r="CG2" s="784" t="s">
        <v>210</v>
      </c>
      <c r="CH2" s="126"/>
      <c r="CI2" s="258"/>
      <c r="CJ2" s="126" t="s">
        <v>213</v>
      </c>
      <c r="CK2" s="457">
        <f>N16</f>
        <v>10</v>
      </c>
      <c r="CM2" s="778" t="s">
        <v>216</v>
      </c>
      <c r="CN2" s="779"/>
      <c r="CO2" s="780"/>
      <c r="CP2" s="784" t="s">
        <v>210</v>
      </c>
      <c r="CQ2" s="126"/>
      <c r="CR2" s="258"/>
      <c r="CS2" s="126" t="s">
        <v>213</v>
      </c>
      <c r="CT2" s="457">
        <f>CB2</f>
        <v>10</v>
      </c>
    </row>
    <row r="3" spans="1:150" ht="13.5" customHeight="1" thickTop="1">
      <c r="A3" s="1105"/>
      <c r="B3" s="1106"/>
      <c r="C3" s="1106"/>
      <c r="D3" s="1106"/>
      <c r="E3" s="1106"/>
      <c r="F3" s="1106"/>
      <c r="G3" s="1106"/>
      <c r="H3" s="1106"/>
      <c r="I3" s="1106"/>
      <c r="J3" s="1106"/>
      <c r="K3" s="1106"/>
      <c r="L3" s="1106"/>
      <c r="M3" s="1106"/>
      <c r="N3" s="1106"/>
      <c r="O3" s="1106"/>
      <c r="P3" s="1106"/>
      <c r="Q3" s="1106"/>
      <c r="R3" s="1106"/>
      <c r="S3" s="1106"/>
      <c r="T3" s="1106"/>
      <c r="U3" s="1106"/>
      <c r="V3" s="1106"/>
      <c r="W3" s="1106"/>
      <c r="X3" s="1107"/>
      <c r="Y3" s="722"/>
      <c r="Z3" s="723"/>
      <c r="AA3" s="726"/>
      <c r="AB3" s="726"/>
      <c r="AC3" s="726"/>
      <c r="AD3" s="727"/>
      <c r="AE3" s="127"/>
      <c r="AF3" s="128"/>
      <c r="AG3" s="129"/>
      <c r="AH3" s="130" t="s">
        <v>52</v>
      </c>
      <c r="AI3" s="1172"/>
      <c r="AJ3" s="1172"/>
      <c r="AK3" s="1172"/>
      <c r="AL3" s="1172"/>
      <c r="AM3" s="1172"/>
      <c r="AN3" s="1172"/>
      <c r="AO3" s="12"/>
      <c r="AP3" s="13"/>
      <c r="AQ3" s="131" t="s">
        <v>0</v>
      </c>
      <c r="AR3" s="1197"/>
      <c r="AS3" s="1198"/>
      <c r="AT3" s="1198"/>
      <c r="AU3" s="1198"/>
      <c r="AV3" s="1198"/>
      <c r="AW3" s="1198"/>
      <c r="AX3" s="1199"/>
      <c r="AY3" s="122"/>
      <c r="AZ3" s="605"/>
      <c r="BA3" s="747" t="s">
        <v>227</v>
      </c>
      <c r="BB3" s="747"/>
      <c r="BC3" s="747"/>
      <c r="BD3" s="747"/>
      <c r="BE3" s="747"/>
      <c r="BF3" s="747"/>
      <c r="BG3" s="747"/>
      <c r="BH3" s="747"/>
      <c r="BI3" s="747"/>
      <c r="BJ3" s="747"/>
      <c r="BK3" s="747"/>
      <c r="BL3" s="748"/>
      <c r="BM3" s="122"/>
      <c r="BN3" s="122"/>
      <c r="BO3" s="802"/>
      <c r="BP3" s="803"/>
      <c r="BQ3" s="803"/>
      <c r="BR3" s="803"/>
      <c r="BS3" s="804"/>
      <c r="BT3" s="122"/>
      <c r="BU3" s="781"/>
      <c r="BV3" s="782"/>
      <c r="BW3" s="783"/>
      <c r="BX3" s="785"/>
      <c r="BY3" s="481"/>
      <c r="BZ3" s="769" t="s">
        <v>211</v>
      </c>
      <c r="CA3" s="770"/>
      <c r="CB3" s="771"/>
      <c r="CC3" s="122"/>
      <c r="CD3" s="781"/>
      <c r="CE3" s="782"/>
      <c r="CF3" s="783"/>
      <c r="CG3" s="785"/>
      <c r="CH3" s="120"/>
      <c r="CI3" s="769" t="s">
        <v>211</v>
      </c>
      <c r="CJ3" s="770"/>
      <c r="CK3" s="771"/>
      <c r="CM3" s="781"/>
      <c r="CN3" s="782"/>
      <c r="CO3" s="783"/>
      <c r="CP3" s="785"/>
      <c r="CQ3" s="120"/>
      <c r="CR3" s="769" t="s">
        <v>211</v>
      </c>
      <c r="CS3" s="770"/>
      <c r="CT3" s="771"/>
    </row>
    <row r="4" spans="1:150" ht="13.5" customHeight="1" thickBot="1">
      <c r="A4" s="60" t="s">
        <v>3</v>
      </c>
      <c r="B4" s="59"/>
      <c r="C4" s="59"/>
      <c r="D4" s="59"/>
      <c r="E4" s="1170"/>
      <c r="F4" s="1170"/>
      <c r="G4" s="1170"/>
      <c r="H4" s="1170"/>
      <c r="I4" s="1170"/>
      <c r="J4" s="1170"/>
      <c r="K4" s="1170"/>
      <c r="L4" s="1170"/>
      <c r="M4" s="1170"/>
      <c r="N4" s="61"/>
      <c r="O4" s="64" t="s">
        <v>35</v>
      </c>
      <c r="P4" s="1170"/>
      <c r="Q4" s="1170"/>
      <c r="R4" s="1170"/>
      <c r="S4" s="1170"/>
      <c r="T4" s="1170"/>
      <c r="U4" s="1170"/>
      <c r="V4" s="1170"/>
      <c r="W4" s="1170"/>
      <c r="X4" s="1171"/>
      <c r="Y4" s="724"/>
      <c r="Z4" s="725"/>
      <c r="AA4" s="728"/>
      <c r="AB4" s="728"/>
      <c r="AC4" s="728"/>
      <c r="AD4" s="729"/>
      <c r="AE4" s="133"/>
      <c r="AF4" s="65"/>
      <c r="AG4" s="11"/>
      <c r="AH4" s="66" t="s">
        <v>53</v>
      </c>
      <c r="AI4" s="1200"/>
      <c r="AJ4" s="1200"/>
      <c r="AK4" s="1200"/>
      <c r="AL4" s="1200"/>
      <c r="AM4" s="1200"/>
      <c r="AN4" s="1200"/>
      <c r="AO4" s="9"/>
      <c r="AP4" s="10"/>
      <c r="AQ4" s="134" t="s">
        <v>17</v>
      </c>
      <c r="AR4" s="1195"/>
      <c r="AS4" s="1195"/>
      <c r="AT4" s="1195"/>
      <c r="AU4" s="1195"/>
      <c r="AV4" s="1195"/>
      <c r="AW4" s="1195"/>
      <c r="AX4" s="1196"/>
      <c r="AY4" s="122"/>
      <c r="AZ4" s="605"/>
      <c r="BA4" s="747"/>
      <c r="BB4" s="747"/>
      <c r="BC4" s="747"/>
      <c r="BD4" s="747"/>
      <c r="BE4" s="747"/>
      <c r="BF4" s="747"/>
      <c r="BG4" s="747"/>
      <c r="BH4" s="747"/>
      <c r="BI4" s="747"/>
      <c r="BJ4" s="747"/>
      <c r="BK4" s="747"/>
      <c r="BL4" s="748"/>
      <c r="BM4" s="122"/>
      <c r="BN4" s="122"/>
      <c r="BO4" s="802"/>
      <c r="BP4" s="803"/>
      <c r="BQ4" s="803"/>
      <c r="BR4" s="803"/>
      <c r="BS4" s="804"/>
      <c r="BT4" s="122"/>
      <c r="BU4" s="777" t="s">
        <v>215</v>
      </c>
      <c r="BV4" s="472"/>
      <c r="BW4" s="473"/>
      <c r="BX4" s="785"/>
      <c r="BY4" s="120"/>
      <c r="BZ4" s="262"/>
      <c r="CA4" s="120" t="s">
        <v>9</v>
      </c>
      <c r="CB4" s="268"/>
      <c r="CC4" s="122"/>
      <c r="CD4" s="777" t="s">
        <v>215</v>
      </c>
      <c r="CE4" s="472"/>
      <c r="CF4" s="473"/>
      <c r="CG4" s="785"/>
      <c r="CH4" s="120"/>
      <c r="CI4" s="262"/>
      <c r="CJ4" s="120" t="s">
        <v>9</v>
      </c>
      <c r="CK4" s="268"/>
      <c r="CM4" s="777" t="s">
        <v>215</v>
      </c>
      <c r="CN4" s="472"/>
      <c r="CO4" s="473"/>
      <c r="CP4" s="785"/>
      <c r="CQ4" s="120"/>
      <c r="CR4" s="262"/>
      <c r="CS4" s="120" t="s">
        <v>9</v>
      </c>
      <c r="CT4" s="268"/>
    </row>
    <row r="5" spans="1:150" s="146" customFormat="1" ht="13.5" customHeight="1" thickTop="1" thickBot="1">
      <c r="A5" s="758">
        <v>1</v>
      </c>
      <c r="B5" s="759"/>
      <c r="C5" s="137" t="s">
        <v>240</v>
      </c>
      <c r="D5" s="138"/>
      <c r="E5" s="138"/>
      <c r="F5" s="138"/>
      <c r="G5" s="138"/>
      <c r="H5" s="138"/>
      <c r="I5" s="138"/>
      <c r="J5" s="138"/>
      <c r="K5" s="138"/>
      <c r="L5" s="138"/>
      <c r="M5" s="138"/>
      <c r="N5" s="138"/>
      <c r="O5" s="138"/>
      <c r="P5" s="138"/>
      <c r="Q5" s="138"/>
      <c r="R5" s="138"/>
      <c r="S5" s="139"/>
      <c r="T5" s="140" t="s">
        <v>50</v>
      </c>
      <c r="U5" s="758">
        <v>2</v>
      </c>
      <c r="V5" s="759"/>
      <c r="W5" s="137" t="s">
        <v>159</v>
      </c>
      <c r="X5" s="138"/>
      <c r="Y5" s="138"/>
      <c r="Z5" s="138"/>
      <c r="AA5" s="138"/>
      <c r="AB5" s="138"/>
      <c r="AC5" s="138"/>
      <c r="AD5" s="138"/>
      <c r="AE5" s="138"/>
      <c r="AF5" s="138"/>
      <c r="AG5" s="138"/>
      <c r="AH5" s="138"/>
      <c r="AI5" s="138"/>
      <c r="AJ5" s="138"/>
      <c r="AK5" s="138"/>
      <c r="AL5" s="138"/>
      <c r="AM5" s="138"/>
      <c r="AN5" s="138"/>
      <c r="AO5" s="138"/>
      <c r="AP5" s="138"/>
      <c r="AQ5" s="139"/>
      <c r="AR5" s="645" t="s">
        <v>250</v>
      </c>
      <c r="AS5" s="140"/>
      <c r="AT5" s="140"/>
      <c r="AU5" s="140"/>
      <c r="AV5" s="140"/>
      <c r="AW5" s="140"/>
      <c r="AX5" s="646"/>
      <c r="AY5" s="122"/>
      <c r="AZ5" s="605"/>
      <c r="BA5" s="747"/>
      <c r="BB5" s="747"/>
      <c r="BC5" s="747"/>
      <c r="BD5" s="747"/>
      <c r="BE5" s="747"/>
      <c r="BF5" s="747"/>
      <c r="BG5" s="747"/>
      <c r="BH5" s="747"/>
      <c r="BI5" s="747"/>
      <c r="BJ5" s="747"/>
      <c r="BK5" s="747"/>
      <c r="BL5" s="748"/>
      <c r="BM5" s="122"/>
      <c r="BN5" s="122"/>
      <c r="BO5" s="802"/>
      <c r="BP5" s="803"/>
      <c r="BQ5" s="803"/>
      <c r="BR5" s="803"/>
      <c r="BS5" s="804"/>
      <c r="BT5" s="122"/>
      <c r="BU5" s="777"/>
      <c r="BV5" s="474"/>
      <c r="BW5" s="475"/>
      <c r="BX5" s="785"/>
      <c r="BY5" s="480" t="s">
        <v>185</v>
      </c>
      <c r="BZ5" s="451">
        <f>Q18</f>
        <v>60</v>
      </c>
      <c r="CA5" s="452">
        <f>Q17</f>
        <v>42</v>
      </c>
      <c r="CB5" s="453">
        <f>Q16</f>
        <v>38</v>
      </c>
      <c r="CC5" s="122"/>
      <c r="CD5" s="777"/>
      <c r="CE5" s="482"/>
      <c r="CF5" s="475"/>
      <c r="CG5" s="785"/>
      <c r="CH5" s="470" t="s">
        <v>185</v>
      </c>
      <c r="CI5" s="451">
        <f>'A1'!S25</f>
        <v>60</v>
      </c>
      <c r="CJ5" s="452">
        <f>'A1'!V25</f>
        <v>42</v>
      </c>
      <c r="CK5" s="453">
        <f>'A1'!Y25</f>
        <v>38</v>
      </c>
      <c r="CL5" s="122"/>
      <c r="CM5" s="777"/>
      <c r="CN5" s="474"/>
      <c r="CO5" s="475"/>
      <c r="CP5" s="785"/>
      <c r="CQ5" s="470" t="s">
        <v>185</v>
      </c>
      <c r="CR5" s="451">
        <f>BZ5</f>
        <v>60</v>
      </c>
      <c r="CS5" s="452">
        <f>CA5</f>
        <v>42</v>
      </c>
      <c r="CT5" s="453">
        <f>CB5</f>
        <v>38</v>
      </c>
      <c r="CU5" s="122"/>
      <c r="CV5" s="122"/>
      <c r="CW5" s="122"/>
      <c r="CX5" s="122"/>
      <c r="CY5" s="122"/>
      <c r="CZ5" s="122"/>
      <c r="DA5" s="122"/>
      <c r="DB5" s="122"/>
      <c r="DC5" s="122"/>
      <c r="DD5" s="122"/>
      <c r="DE5" s="122"/>
      <c r="DF5" s="122"/>
      <c r="DG5" s="145"/>
      <c r="DH5" s="145"/>
      <c r="DI5" s="145"/>
      <c r="DJ5" s="145"/>
      <c r="DK5" s="145"/>
      <c r="DL5" s="145"/>
      <c r="DM5" s="145"/>
      <c r="DN5" s="145"/>
      <c r="DO5" s="145"/>
      <c r="DP5" s="145"/>
      <c r="DQ5" s="145"/>
      <c r="DR5" s="145"/>
      <c r="DS5" s="145"/>
      <c r="DT5" s="145"/>
      <c r="DU5" s="145"/>
      <c r="DV5" s="145"/>
      <c r="DW5" s="145"/>
      <c r="DX5" s="145"/>
      <c r="DY5" s="145"/>
      <c r="DZ5" s="145"/>
      <c r="EA5" s="145"/>
      <c r="EB5" s="145"/>
      <c r="EC5" s="145"/>
      <c r="ED5" s="145"/>
      <c r="EE5" s="145"/>
      <c r="EF5" s="145"/>
      <c r="EG5" s="145"/>
      <c r="EH5" s="145"/>
      <c r="EI5" s="145"/>
      <c r="EJ5" s="145"/>
      <c r="EK5" s="145"/>
      <c r="EL5" s="145"/>
      <c r="EM5" s="145"/>
      <c r="EN5" s="145"/>
      <c r="EO5" s="145"/>
      <c r="EP5" s="145"/>
      <c r="EQ5" s="145"/>
      <c r="ER5" s="145"/>
      <c r="ES5" s="145"/>
      <c r="ET5" s="145"/>
    </row>
    <row r="6" spans="1:150" s="146" customFormat="1" ht="14.25" customHeight="1" thickBot="1">
      <c r="A6" s="147" t="s">
        <v>4</v>
      </c>
      <c r="B6" s="148"/>
      <c r="C6" s="148"/>
      <c r="D6" s="148"/>
      <c r="E6" s="148"/>
      <c r="F6" s="148"/>
      <c r="G6" s="1173"/>
      <c r="H6" s="1173"/>
      <c r="I6" s="148" t="s">
        <v>5</v>
      </c>
      <c r="J6" s="148"/>
      <c r="K6" s="148"/>
      <c r="L6" s="148"/>
      <c r="M6" s="148"/>
      <c r="N6" s="148"/>
      <c r="O6" s="148"/>
      <c r="P6" s="148"/>
      <c r="Q6" s="148"/>
      <c r="R6" s="148"/>
      <c r="S6" s="149"/>
      <c r="T6" s="124"/>
      <c r="U6" s="150"/>
      <c r="V6" s="151" t="s">
        <v>128</v>
      </c>
      <c r="W6" s="152"/>
      <c r="X6" s="152"/>
      <c r="Y6" s="152"/>
      <c r="Z6" s="152"/>
      <c r="AA6" s="152"/>
      <c r="AB6" s="152"/>
      <c r="AC6" s="152"/>
      <c r="AD6" s="152"/>
      <c r="AE6" s="152"/>
      <c r="AF6" s="152"/>
      <c r="AG6" s="152"/>
      <c r="AH6" s="152"/>
      <c r="AI6" s="152"/>
      <c r="AJ6" s="152"/>
      <c r="AK6" s="152"/>
      <c r="AL6" s="152"/>
      <c r="AM6" s="152"/>
      <c r="AN6" s="152"/>
      <c r="AO6" s="152"/>
      <c r="AP6" s="152"/>
      <c r="AQ6" s="153"/>
      <c r="AR6" s="1183" t="s">
        <v>257</v>
      </c>
      <c r="AS6" s="1184"/>
      <c r="AT6" s="1184"/>
      <c r="AU6" s="1184"/>
      <c r="AV6" s="1184"/>
      <c r="AW6" s="1184"/>
      <c r="AX6" s="1185"/>
      <c r="AY6" s="122"/>
      <c r="AZ6" s="605"/>
      <c r="BA6" s="747"/>
      <c r="BB6" s="747"/>
      <c r="BC6" s="747"/>
      <c r="BD6" s="747"/>
      <c r="BE6" s="747"/>
      <c r="BF6" s="747"/>
      <c r="BG6" s="747"/>
      <c r="BH6" s="747"/>
      <c r="BI6" s="747"/>
      <c r="BJ6" s="747"/>
      <c r="BK6" s="747"/>
      <c r="BL6" s="748"/>
      <c r="BM6" s="122"/>
      <c r="BN6" s="122"/>
      <c r="BO6" s="805"/>
      <c r="BP6" s="806"/>
      <c r="BQ6" s="806"/>
      <c r="BR6" s="806"/>
      <c r="BS6" s="807"/>
      <c r="BT6" s="122"/>
      <c r="BU6" s="777"/>
      <c r="BV6" s="663" t="s">
        <v>108</v>
      </c>
      <c r="BW6" s="300" t="s">
        <v>109</v>
      </c>
      <c r="BX6" s="445" t="s">
        <v>199</v>
      </c>
      <c r="BY6" s="300" t="s">
        <v>10</v>
      </c>
      <c r="BZ6" s="808" t="s">
        <v>212</v>
      </c>
      <c r="CA6" s="809"/>
      <c r="CB6" s="810"/>
      <c r="CC6" s="122"/>
      <c r="CD6" s="786"/>
      <c r="CE6" s="323" t="s">
        <v>108</v>
      </c>
      <c r="CF6" s="300" t="s">
        <v>109</v>
      </c>
      <c r="CG6" s="445" t="s">
        <v>199</v>
      </c>
      <c r="CH6" s="469" t="s">
        <v>10</v>
      </c>
      <c r="CI6" s="811" t="s">
        <v>212</v>
      </c>
      <c r="CJ6" s="812"/>
      <c r="CK6" s="813"/>
      <c r="CL6" s="122"/>
      <c r="CM6" s="786"/>
      <c r="CN6" s="323" t="s">
        <v>108</v>
      </c>
      <c r="CO6" s="300" t="s">
        <v>109</v>
      </c>
      <c r="CP6" s="445" t="s">
        <v>199</v>
      </c>
      <c r="CQ6" s="469" t="s">
        <v>10</v>
      </c>
      <c r="CR6" s="811" t="s">
        <v>212</v>
      </c>
      <c r="CS6" s="812"/>
      <c r="CT6" s="813"/>
      <c r="CU6" s="122"/>
      <c r="CV6" s="122"/>
      <c r="CW6" s="122"/>
      <c r="CX6" s="122"/>
      <c r="CY6" s="122"/>
      <c r="CZ6" s="122"/>
      <c r="DA6" s="122"/>
      <c r="DB6" s="122"/>
      <c r="DC6" s="122"/>
      <c r="DD6" s="122"/>
      <c r="DE6" s="122"/>
      <c r="DF6" s="122"/>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row>
    <row r="7" spans="1:150" s="146" customFormat="1" ht="15" customHeight="1" thickTop="1" thickBot="1">
      <c r="A7" s="155" t="s">
        <v>96</v>
      </c>
      <c r="B7" s="156"/>
      <c r="C7" s="157"/>
      <c r="D7" s="157"/>
      <c r="E7" s="157"/>
      <c r="F7" s="157"/>
      <c r="G7" s="157"/>
      <c r="H7" s="158" t="s">
        <v>153</v>
      </c>
      <c r="I7" s="159"/>
      <c r="J7" s="159"/>
      <c r="K7" s="159"/>
      <c r="L7" s="159"/>
      <c r="M7" s="159"/>
      <c r="N7" s="159"/>
      <c r="O7" s="159"/>
      <c r="P7" s="159"/>
      <c r="Q7" s="159"/>
      <c r="R7" s="159"/>
      <c r="S7" s="160"/>
      <c r="T7" s="124"/>
      <c r="U7" s="161"/>
      <c r="V7" s="162"/>
      <c r="W7" s="162"/>
      <c r="X7" s="162"/>
      <c r="Y7" s="162"/>
      <c r="Z7" s="162"/>
      <c r="AA7" s="162"/>
      <c r="AB7" s="162"/>
      <c r="AC7" s="163" t="s">
        <v>18</v>
      </c>
      <c r="AD7" s="1169"/>
      <c r="AE7" s="1169"/>
      <c r="AF7" s="162" t="s">
        <v>10</v>
      </c>
      <c r="AG7" s="162"/>
      <c r="AH7" s="164"/>
      <c r="AI7" s="165"/>
      <c r="AJ7" s="165"/>
      <c r="AK7" s="166" t="s">
        <v>241</v>
      </c>
      <c r="AL7" s="166" t="s">
        <v>123</v>
      </c>
      <c r="AM7" s="1201"/>
      <c r="AN7" s="1201"/>
      <c r="AO7" s="166" t="s">
        <v>124</v>
      </c>
      <c r="AP7" s="1201"/>
      <c r="AQ7" s="1202"/>
      <c r="AR7" s="1183"/>
      <c r="AS7" s="1184"/>
      <c r="AT7" s="1184"/>
      <c r="AU7" s="1184"/>
      <c r="AV7" s="1184"/>
      <c r="AW7" s="1184"/>
      <c r="AX7" s="1185"/>
      <c r="AY7" s="122"/>
      <c r="AZ7" s="605"/>
      <c r="BA7" s="747"/>
      <c r="BB7" s="747"/>
      <c r="BC7" s="747"/>
      <c r="BD7" s="747"/>
      <c r="BE7" s="747"/>
      <c r="BF7" s="747"/>
      <c r="BG7" s="747"/>
      <c r="BH7" s="747"/>
      <c r="BI7" s="747"/>
      <c r="BJ7" s="747"/>
      <c r="BK7" s="747"/>
      <c r="BL7" s="748"/>
      <c r="BM7" s="122"/>
      <c r="BN7" s="122"/>
      <c r="BO7" s="439" t="s">
        <v>208</v>
      </c>
      <c r="BP7" s="185"/>
      <c r="BQ7" s="185"/>
      <c r="BR7" s="185"/>
      <c r="BS7" s="476"/>
      <c r="BT7" s="122"/>
      <c r="BU7" s="662" t="str">
        <f t="shared" ref="BU7:BU13" si="0">IF(BU$14=BO7,"X","")</f>
        <v/>
      </c>
      <c r="BV7" s="664">
        <f>BV8</f>
        <v>0</v>
      </c>
      <c r="BW7" s="186">
        <f>BV7</f>
        <v>0</v>
      </c>
      <c r="BX7" s="625" t="e">
        <f>BW7/BV7*100</f>
        <v>#DIV/0!</v>
      </c>
      <c r="BY7" s="535"/>
      <c r="BZ7" s="454">
        <f>BY7*14.331/(BZ5-CB2)</f>
        <v>0</v>
      </c>
      <c r="CA7" s="455">
        <f>BY7*14.331/(CA5-CB2)</f>
        <v>0</v>
      </c>
      <c r="CB7" s="456">
        <f>BY7*14.331/(CB5-CB2)</f>
        <v>0</v>
      </c>
      <c r="CC7" s="122"/>
      <c r="CD7" s="441" t="str">
        <f>IF(CD$14=BO7,"X","")</f>
        <v/>
      </c>
      <c r="CE7" s="216">
        <f>'A1'!AL24</f>
        <v>0</v>
      </c>
      <c r="CF7" s="440">
        <f>CE7</f>
        <v>0</v>
      </c>
      <c r="CG7" s="625">
        <f>'A1'!Z30</f>
        <v>0</v>
      </c>
      <c r="CH7" s="449">
        <f>'A1'!AB30</f>
        <v>0</v>
      </c>
      <c r="CI7" s="454">
        <f>IF(CG7=0,0,CH7*14.331/(CI5-CK2))</f>
        <v>0</v>
      </c>
      <c r="CJ7" s="455">
        <f>IF(CG7=0,0,CH7*14.331/(CJ5-CK2))</f>
        <v>0</v>
      </c>
      <c r="CK7" s="456">
        <f>IF(CG7=0,0,CH7*14.331/(CK5-CK2))</f>
        <v>0</v>
      </c>
      <c r="CL7" s="122"/>
      <c r="CM7" s="441" t="str">
        <f>IF(CM$14=BO7,"X","")</f>
        <v/>
      </c>
      <c r="CN7" s="216">
        <f>'A2'!AL24</f>
        <v>0</v>
      </c>
      <c r="CO7" s="440">
        <f>'A2'!W30</f>
        <v>0</v>
      </c>
      <c r="CP7" s="625">
        <f>'A2'!Z30</f>
        <v>0</v>
      </c>
      <c r="CQ7" s="449">
        <f>'A2'!AB30</f>
        <v>0</v>
      </c>
      <c r="CR7" s="454">
        <f>CQ7*14.331/(CR5-CT2)</f>
        <v>0</v>
      </c>
      <c r="CS7" s="455">
        <f>CQ7*14.331/(CS5-CT2)</f>
        <v>0</v>
      </c>
      <c r="CT7" s="456">
        <f>CQ7*14.331/(CT5-CT2)</f>
        <v>0</v>
      </c>
      <c r="CU7" s="122"/>
      <c r="CV7" s="122"/>
      <c r="CW7" s="122"/>
      <c r="CX7" s="122"/>
      <c r="CY7" s="122"/>
      <c r="CZ7" s="122"/>
      <c r="DA7" s="122"/>
      <c r="DB7" s="122"/>
      <c r="DC7" s="122"/>
      <c r="DD7" s="122"/>
      <c r="DE7" s="122"/>
      <c r="DF7" s="122"/>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row>
    <row r="8" spans="1:150" s="146" customFormat="1" ht="15.6" thickBot="1">
      <c r="A8" s="817" t="s">
        <v>91</v>
      </c>
      <c r="B8" s="818"/>
      <c r="C8" s="818"/>
      <c r="D8" s="818"/>
      <c r="E8" s="819"/>
      <c r="F8" s="823" t="s">
        <v>7</v>
      </c>
      <c r="G8" s="818"/>
      <c r="H8" s="818"/>
      <c r="I8" s="819"/>
      <c r="J8" s="823" t="s">
        <v>90</v>
      </c>
      <c r="K8" s="818"/>
      <c r="L8" s="818"/>
      <c r="M8" s="818"/>
      <c r="N8" s="818"/>
      <c r="O8" s="818"/>
      <c r="P8" s="818"/>
      <c r="Q8" s="818"/>
      <c r="R8" s="818"/>
      <c r="S8" s="824"/>
      <c r="T8" s="124"/>
      <c r="U8" s="167"/>
      <c r="V8" s="168"/>
      <c r="W8" s="168"/>
      <c r="X8" s="168"/>
      <c r="Y8" s="168"/>
      <c r="Z8" s="168"/>
      <c r="AA8" s="168"/>
      <c r="AB8" s="168"/>
      <c r="AC8" s="169" t="s">
        <v>129</v>
      </c>
      <c r="AD8" s="825" t="str">
        <f>IF(AM7*AD7=0,"",AD7/1.163/(AM7-AP7))</f>
        <v/>
      </c>
      <c r="AE8" s="825"/>
      <c r="AF8" s="168" t="s">
        <v>11</v>
      </c>
      <c r="AG8" s="168"/>
      <c r="AH8" s="170"/>
      <c r="AI8" s="171"/>
      <c r="AJ8" s="171"/>
      <c r="AK8" s="172" t="s">
        <v>125</v>
      </c>
      <c r="AL8" s="172" t="s">
        <v>123</v>
      </c>
      <c r="AM8" s="1175"/>
      <c r="AN8" s="1175"/>
      <c r="AO8" s="171"/>
      <c r="AP8" s="827">
        <f>MIN(AM7,AM8)</f>
        <v>0</v>
      </c>
      <c r="AQ8" s="828"/>
      <c r="AR8" s="1183"/>
      <c r="AS8" s="1184"/>
      <c r="AT8" s="1184"/>
      <c r="AU8" s="1184"/>
      <c r="AV8" s="1184"/>
      <c r="AW8" s="1184"/>
      <c r="AX8" s="1185"/>
      <c r="AY8" s="122"/>
      <c r="AZ8" s="605"/>
      <c r="BA8" s="747"/>
      <c r="BB8" s="747"/>
      <c r="BC8" s="747"/>
      <c r="BD8" s="747"/>
      <c r="BE8" s="747"/>
      <c r="BF8" s="747"/>
      <c r="BG8" s="747"/>
      <c r="BH8" s="747"/>
      <c r="BI8" s="747"/>
      <c r="BJ8" s="747"/>
      <c r="BK8" s="747"/>
      <c r="BL8" s="748"/>
      <c r="BM8" s="122"/>
      <c r="BN8" s="122"/>
      <c r="BO8" s="135" t="s">
        <v>65</v>
      </c>
      <c r="BP8" s="136"/>
      <c r="BQ8" s="136"/>
      <c r="BR8" s="136"/>
      <c r="BS8" s="477"/>
      <c r="BT8" s="122"/>
      <c r="BU8" s="661" t="str">
        <f t="shared" si="0"/>
        <v/>
      </c>
      <c r="BV8" s="736">
        <f>SLS!T31</f>
        <v>0</v>
      </c>
      <c r="BW8" s="464">
        <f>SLS!W31</f>
        <v>-0.94</v>
      </c>
      <c r="BX8" s="446" t="e">
        <f>BW8/$BV$8*100</f>
        <v>#DIV/0!</v>
      </c>
      <c r="BY8" s="465">
        <f>ROUNDUP(SLS!AB31,0)</f>
        <v>40</v>
      </c>
      <c r="BZ8" s="466">
        <f>BY8*14.331/($BZ$5-$CB$2)</f>
        <v>11.4648</v>
      </c>
      <c r="CA8" s="467">
        <f>BY8*14.331/($CA$5-$CB$2)</f>
        <v>17.91375</v>
      </c>
      <c r="CB8" s="468">
        <f>BY8*14.331/($CB$5-$CB$2)</f>
        <v>20.472857142857144</v>
      </c>
      <c r="CC8" s="122"/>
      <c r="CD8" s="441" t="str">
        <f t="shared" ref="CD8:CD13" si="1">IF(CD$14=BO8,"X","")</f>
        <v/>
      </c>
      <c r="CE8" s="738">
        <f>'A1'!P24</f>
        <v>0</v>
      </c>
      <c r="CF8" s="464">
        <f>'A1'!W31</f>
        <v>-0.94</v>
      </c>
      <c r="CG8" s="446">
        <f>'A1'!Z31</f>
        <v>0</v>
      </c>
      <c r="CH8" s="465">
        <f>ROUNDUP('A1'!AB31,0)</f>
        <v>40</v>
      </c>
      <c r="CI8" s="466">
        <f t="shared" ref="CI8:CI13" si="2">CH8*14.331/($CI$5-$CK$2)</f>
        <v>11.4648</v>
      </c>
      <c r="CJ8" s="467">
        <f t="shared" ref="CJ8:CJ13" si="3">CH8*14.331/($CJ$5-$CK$2)</f>
        <v>17.91375</v>
      </c>
      <c r="CK8" s="468">
        <f t="shared" ref="CK8:CK13" si="4">CH8*14.331/($CK$5-$CK$2)</f>
        <v>20.472857142857144</v>
      </c>
      <c r="CL8" s="122"/>
      <c r="CM8" s="441" t="str">
        <f t="shared" ref="CM8:CM13" si="5">IF(CM$14=BO8,"X","")</f>
        <v/>
      </c>
      <c r="CN8" s="738">
        <f>'A2'!P24</f>
        <v>0</v>
      </c>
      <c r="CO8" s="464">
        <f>'A2'!W31</f>
        <v>-0.94</v>
      </c>
      <c r="CP8" s="446">
        <f>'A2'!Z31</f>
        <v>0</v>
      </c>
      <c r="CQ8" s="465">
        <f>ROUNDUP('A2'!AB31,0)</f>
        <v>40</v>
      </c>
      <c r="CR8" s="466">
        <f t="shared" ref="CR8:CR13" si="6">CQ8*14.331/($CI$5-$CK$2)</f>
        <v>11.4648</v>
      </c>
      <c r="CS8" s="467">
        <f t="shared" ref="CS8:CS13" si="7">CQ8*14.331/($CJ$5-$CK$2)</f>
        <v>17.91375</v>
      </c>
      <c r="CT8" s="468">
        <f t="shared" ref="CT8:CT13" si="8">CQ8*14.331/($CK$5-$CK$2)</f>
        <v>20.472857142857144</v>
      </c>
      <c r="CU8" s="122"/>
      <c r="CV8" s="122"/>
      <c r="CW8" s="122"/>
      <c r="CX8" s="122"/>
      <c r="CY8" s="122"/>
      <c r="CZ8" s="122"/>
      <c r="DA8" s="122"/>
      <c r="DB8" s="122"/>
      <c r="DC8" s="122"/>
      <c r="DD8" s="122"/>
      <c r="DE8" s="122"/>
      <c r="DF8" s="122"/>
      <c r="DG8" s="145"/>
      <c r="DH8" s="145"/>
      <c r="DI8" s="145"/>
      <c r="DJ8" s="145"/>
      <c r="DK8" s="145"/>
      <c r="DL8" s="145"/>
      <c r="DM8" s="145"/>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row>
    <row r="9" spans="1:150" s="146" customFormat="1" ht="15.6" thickBot="1">
      <c r="A9" s="820"/>
      <c r="B9" s="821"/>
      <c r="C9" s="821"/>
      <c r="D9" s="821"/>
      <c r="E9" s="822"/>
      <c r="F9" s="829" t="s">
        <v>19</v>
      </c>
      <c r="G9" s="830"/>
      <c r="H9" s="831" t="s">
        <v>92</v>
      </c>
      <c r="I9" s="832"/>
      <c r="J9" s="829" t="s">
        <v>150</v>
      </c>
      <c r="K9" s="833"/>
      <c r="L9" s="831" t="s">
        <v>92</v>
      </c>
      <c r="M9" s="833"/>
      <c r="N9" s="831" t="s">
        <v>83</v>
      </c>
      <c r="O9" s="830"/>
      <c r="P9" s="829" t="s">
        <v>95</v>
      </c>
      <c r="Q9" s="830"/>
      <c r="R9" s="830"/>
      <c r="S9" s="834"/>
      <c r="T9" s="124"/>
      <c r="U9" s="174"/>
      <c r="V9" s="175" t="s">
        <v>130</v>
      </c>
      <c r="W9" s="176"/>
      <c r="X9" s="176"/>
      <c r="Y9" s="176"/>
      <c r="Z9" s="176"/>
      <c r="AA9" s="176"/>
      <c r="AB9" s="176"/>
      <c r="AC9" s="176"/>
      <c r="AD9" s="176"/>
      <c r="AE9" s="176"/>
      <c r="AF9" s="176"/>
      <c r="AG9" s="176"/>
      <c r="AH9" s="176"/>
      <c r="AI9" s="176"/>
      <c r="AJ9" s="176"/>
      <c r="AK9" s="176"/>
      <c r="AL9" s="177" t="s">
        <v>127</v>
      </c>
      <c r="AM9" s="1124"/>
      <c r="AN9" s="1124"/>
      <c r="AO9" s="178" t="s">
        <v>124</v>
      </c>
      <c r="AP9" s="1124"/>
      <c r="AQ9" s="1125"/>
      <c r="AR9" s="1183"/>
      <c r="AS9" s="1184"/>
      <c r="AT9" s="1184"/>
      <c r="AU9" s="1184"/>
      <c r="AV9" s="1184"/>
      <c r="AW9" s="1184"/>
      <c r="AX9" s="1185"/>
      <c r="AY9" s="122"/>
      <c r="AZ9" s="605"/>
      <c r="BA9" s="747"/>
      <c r="BB9" s="747"/>
      <c r="BC9" s="747"/>
      <c r="BD9" s="747"/>
      <c r="BE9" s="747"/>
      <c r="BF9" s="747"/>
      <c r="BG9" s="747"/>
      <c r="BH9" s="747"/>
      <c r="BI9" s="747"/>
      <c r="BJ9" s="747"/>
      <c r="BK9" s="747"/>
      <c r="BL9" s="748"/>
      <c r="BM9" s="122"/>
      <c r="BN9" s="122"/>
      <c r="BO9" s="141" t="s">
        <v>64</v>
      </c>
      <c r="BP9" s="142"/>
      <c r="BQ9" s="142"/>
      <c r="BR9" s="142"/>
      <c r="BS9" s="478"/>
      <c r="BT9" s="122"/>
      <c r="BU9" s="144" t="str">
        <f t="shared" si="0"/>
        <v/>
      </c>
      <c r="BV9" s="736"/>
      <c r="BW9" s="143">
        <f>SLS!W32</f>
        <v>-0.18</v>
      </c>
      <c r="BX9" s="446" t="e">
        <f>BW9/$BV$8*100</f>
        <v>#DIV/0!</v>
      </c>
      <c r="BY9" s="447">
        <f>ROUNDUP(SLS!AB32,0)</f>
        <v>8</v>
      </c>
      <c r="BZ9" s="466">
        <f t="shared" ref="BZ9:BZ13" si="9">BY9*14.331/($BZ$5-$CB$2)</f>
        <v>2.2929599999999999</v>
      </c>
      <c r="CA9" s="467">
        <f t="shared" ref="CA9:CA13" si="10">BY9*14.331/($CA$5-$CB$2)</f>
        <v>3.5827499999999999</v>
      </c>
      <c r="CB9" s="468">
        <f t="shared" ref="CB9:CB13" si="11">BY9*14.331/($CB$5-$CB$2)</f>
        <v>4.0945714285714283</v>
      </c>
      <c r="CC9" s="122"/>
      <c r="CD9" s="144" t="str">
        <f t="shared" si="1"/>
        <v/>
      </c>
      <c r="CE9" s="738"/>
      <c r="CF9" s="143">
        <f>'A1'!W32</f>
        <v>-0.18</v>
      </c>
      <c r="CG9" s="446">
        <f>'A1'!Z32</f>
        <v>0</v>
      </c>
      <c r="CH9" s="447">
        <f>ROUNDUP('A1'!AB32,0)</f>
        <v>8</v>
      </c>
      <c r="CI9" s="461">
        <f t="shared" si="2"/>
        <v>2.2929599999999999</v>
      </c>
      <c r="CJ9" s="462">
        <f t="shared" si="3"/>
        <v>3.5827499999999999</v>
      </c>
      <c r="CK9" s="463">
        <f t="shared" si="4"/>
        <v>4.0945714285714283</v>
      </c>
      <c r="CL9" s="122"/>
      <c r="CM9" s="144" t="str">
        <f t="shared" si="5"/>
        <v/>
      </c>
      <c r="CN9" s="738"/>
      <c r="CO9" s="143">
        <f>'A2'!W32</f>
        <v>-0.18</v>
      </c>
      <c r="CP9" s="446">
        <f>'A2'!Z32</f>
        <v>0</v>
      </c>
      <c r="CQ9" s="447">
        <f>ROUNDUP('A2'!AB32,0)</f>
        <v>8</v>
      </c>
      <c r="CR9" s="461">
        <f t="shared" si="6"/>
        <v>2.2929599999999999</v>
      </c>
      <c r="CS9" s="462">
        <f t="shared" si="7"/>
        <v>3.5827499999999999</v>
      </c>
      <c r="CT9" s="463">
        <f t="shared" si="8"/>
        <v>4.0945714285714283</v>
      </c>
      <c r="CU9" s="122"/>
      <c r="CV9" s="122"/>
      <c r="CW9" s="122"/>
      <c r="CX9" s="122"/>
      <c r="CY9" s="122"/>
      <c r="CZ9" s="122"/>
      <c r="DA9" s="122"/>
      <c r="DB9" s="122"/>
      <c r="DC9" s="122"/>
      <c r="DD9" s="122"/>
      <c r="DE9" s="122"/>
      <c r="DF9" s="122"/>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row>
    <row r="10" spans="1:150" s="146" customFormat="1" ht="13.5" customHeight="1" thickTop="1">
      <c r="A10" s="586">
        <f>F11+F12+F13</f>
        <v>0</v>
      </c>
      <c r="B10" s="587">
        <f>MAX(L11:M13)</f>
        <v>4</v>
      </c>
      <c r="C10" s="588">
        <f>MAX(N11,N12,N13)</f>
        <v>38</v>
      </c>
      <c r="D10" s="740" t="s">
        <v>15</v>
      </c>
      <c r="E10" s="741"/>
      <c r="F10" s="837" t="s">
        <v>15</v>
      </c>
      <c r="G10" s="837"/>
      <c r="H10" s="742" t="s">
        <v>93</v>
      </c>
      <c r="I10" s="741"/>
      <c r="J10" s="847" t="s">
        <v>239</v>
      </c>
      <c r="K10" s="848"/>
      <c r="L10" s="742" t="s">
        <v>93</v>
      </c>
      <c r="M10" s="848"/>
      <c r="N10" s="742" t="s">
        <v>14</v>
      </c>
      <c r="O10" s="837"/>
      <c r="P10" s="743" t="s">
        <v>236</v>
      </c>
      <c r="Q10" s="744"/>
      <c r="R10" s="744"/>
      <c r="S10" s="745"/>
      <c r="T10" s="180" t="s">
        <v>50</v>
      </c>
      <c r="U10" s="181"/>
      <c r="V10" s="182"/>
      <c r="W10" s="182"/>
      <c r="X10" s="182"/>
      <c r="Y10" s="182"/>
      <c r="Z10" s="182"/>
      <c r="AA10" s="182"/>
      <c r="AB10" s="182"/>
      <c r="AC10" s="183" t="s">
        <v>131</v>
      </c>
      <c r="AD10" s="1186"/>
      <c r="AE10" s="1186"/>
      <c r="AF10" s="182" t="s">
        <v>132</v>
      </c>
      <c r="AG10" s="182"/>
      <c r="AH10" s="182"/>
      <c r="AI10" s="182"/>
      <c r="AJ10" s="162"/>
      <c r="AK10" s="162"/>
      <c r="AL10" s="162"/>
      <c r="AM10" s="162"/>
      <c r="AN10" s="162"/>
      <c r="AO10" s="162"/>
      <c r="AP10" s="162"/>
      <c r="AQ10" s="184"/>
      <c r="AR10" s="115"/>
      <c r="AS10" s="115"/>
      <c r="AT10" s="115"/>
      <c r="AU10" s="115"/>
      <c r="AV10" s="115"/>
      <c r="AW10" s="124"/>
      <c r="AX10" s="528"/>
      <c r="AY10" s="122"/>
      <c r="AZ10" s="605"/>
      <c r="BA10" s="747" t="s">
        <v>228</v>
      </c>
      <c r="BB10" s="747"/>
      <c r="BC10" s="747"/>
      <c r="BD10" s="747"/>
      <c r="BE10" s="747"/>
      <c r="BF10" s="747"/>
      <c r="BG10" s="747"/>
      <c r="BH10" s="747"/>
      <c r="BI10" s="747"/>
      <c r="BJ10" s="747"/>
      <c r="BK10" s="747"/>
      <c r="BL10" s="748"/>
      <c r="BM10" s="122"/>
      <c r="BN10" s="122"/>
      <c r="BO10" s="154" t="s">
        <v>117</v>
      </c>
      <c r="BP10" s="142"/>
      <c r="BQ10" s="142"/>
      <c r="BR10" s="142"/>
      <c r="BS10" s="478"/>
      <c r="BT10" s="122"/>
      <c r="BU10" s="442" t="str">
        <f t="shared" si="0"/>
        <v>X</v>
      </c>
      <c r="BV10" s="736"/>
      <c r="BW10" s="143">
        <f>SLS!W33</f>
        <v>-0.13</v>
      </c>
      <c r="BX10" s="446" t="e">
        <f t="shared" ref="BX10:BX13" si="12">BW10/$BV$8*100</f>
        <v>#DIV/0!</v>
      </c>
      <c r="BY10" s="447">
        <f>ROUNDUP(SLS!AB33,0)</f>
        <v>6</v>
      </c>
      <c r="BZ10" s="466">
        <f t="shared" si="9"/>
        <v>1.7197199999999997</v>
      </c>
      <c r="CA10" s="467">
        <f t="shared" si="10"/>
        <v>2.6870624999999997</v>
      </c>
      <c r="CB10" s="468">
        <f t="shared" si="11"/>
        <v>3.070928571428571</v>
      </c>
      <c r="CC10" s="122"/>
      <c r="CD10" s="442" t="str">
        <f t="shared" si="1"/>
        <v>X</v>
      </c>
      <c r="CE10" s="738"/>
      <c r="CF10" s="143">
        <f>'A1'!W33</f>
        <v>-0.13</v>
      </c>
      <c r="CG10" s="446">
        <f>'A1'!Z33</f>
        <v>0</v>
      </c>
      <c r="CH10" s="447">
        <f>ROUNDUP('A1'!AB33,0)</f>
        <v>6</v>
      </c>
      <c r="CI10" s="461">
        <f t="shared" si="2"/>
        <v>1.7197199999999997</v>
      </c>
      <c r="CJ10" s="462">
        <f t="shared" si="3"/>
        <v>2.6870624999999997</v>
      </c>
      <c r="CK10" s="463">
        <f t="shared" si="4"/>
        <v>3.070928571428571</v>
      </c>
      <c r="CL10" s="122"/>
      <c r="CM10" s="442" t="str">
        <f t="shared" si="5"/>
        <v>X</v>
      </c>
      <c r="CN10" s="738"/>
      <c r="CO10" s="143">
        <f>'A2'!W33</f>
        <v>-0.13</v>
      </c>
      <c r="CP10" s="446">
        <f>'A2'!Z33</f>
        <v>0</v>
      </c>
      <c r="CQ10" s="447">
        <f>ROUNDUP('A2'!AB33,0)</f>
        <v>6</v>
      </c>
      <c r="CR10" s="461">
        <f t="shared" si="6"/>
        <v>1.7197199999999997</v>
      </c>
      <c r="CS10" s="462">
        <f t="shared" si="7"/>
        <v>2.6870624999999997</v>
      </c>
      <c r="CT10" s="463">
        <f t="shared" si="8"/>
        <v>3.070928571428571</v>
      </c>
      <c r="CU10" s="122"/>
      <c r="CV10" s="122"/>
      <c r="CW10" s="122"/>
      <c r="CX10" s="122"/>
      <c r="CY10" s="122"/>
      <c r="CZ10" s="122"/>
      <c r="DA10" s="122"/>
      <c r="DB10" s="122"/>
      <c r="DC10" s="122"/>
      <c r="DD10" s="122"/>
      <c r="DE10" s="122"/>
      <c r="DF10" s="122"/>
      <c r="DG10" s="145"/>
      <c r="DH10" s="145"/>
      <c r="DI10" s="145"/>
      <c r="DJ10" s="145"/>
      <c r="DK10" s="145"/>
      <c r="DL10" s="145"/>
      <c r="DM10" s="145"/>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row>
    <row r="11" spans="1:150" s="146" customFormat="1" ht="13.5" customHeight="1" thickBot="1">
      <c r="A11" s="838" t="s">
        <v>13</v>
      </c>
      <c r="B11" s="839"/>
      <c r="C11" s="840"/>
      <c r="D11" s="1157"/>
      <c r="E11" s="1158"/>
      <c r="F11" s="843">
        <f>K45</f>
        <v>0</v>
      </c>
      <c r="G11" s="844"/>
      <c r="H11" s="845">
        <v>7</v>
      </c>
      <c r="I11" s="846"/>
      <c r="J11" s="755">
        <v>10</v>
      </c>
      <c r="K11" s="756"/>
      <c r="L11" s="757">
        <v>4</v>
      </c>
      <c r="M11" s="757"/>
      <c r="N11" s="749">
        <v>38</v>
      </c>
      <c r="O11" s="750"/>
      <c r="P11" s="187"/>
      <c r="Q11" s="751">
        <f>F11*J11*L11</f>
        <v>0</v>
      </c>
      <c r="R11" s="751"/>
      <c r="S11" s="188"/>
      <c r="T11" s="124"/>
      <c r="U11" s="189"/>
      <c r="V11" s="190"/>
      <c r="W11" s="190"/>
      <c r="X11" s="190"/>
      <c r="Y11" s="190"/>
      <c r="Z11" s="190"/>
      <c r="AA11" s="190"/>
      <c r="AB11" s="190"/>
      <c r="AC11" s="191" t="s">
        <v>126</v>
      </c>
      <c r="AD11" s="752" t="str">
        <f>IF(AD10*AM8=0,"",ROUNDDOWN(AD10*1.163*(AM8-AP9),0))</f>
        <v/>
      </c>
      <c r="AE11" s="752"/>
      <c r="AF11" s="192" t="s">
        <v>10</v>
      </c>
      <c r="AG11" s="190"/>
      <c r="AH11" s="190" t="str">
        <f>"bezogen auf "&amp;AP8&amp;"°C Tv u. "&amp;AP9&amp;"°C Tr"</f>
        <v>bezogen auf 0°C Tv u. °C Tr</v>
      </c>
      <c r="AI11" s="190"/>
      <c r="AJ11" s="168"/>
      <c r="AK11" s="168"/>
      <c r="AL11" s="168"/>
      <c r="AM11" s="168"/>
      <c r="AN11" s="168"/>
      <c r="AO11" s="168"/>
      <c r="AP11" s="168"/>
      <c r="AQ11" s="193"/>
      <c r="AR11" s="115"/>
      <c r="AS11" s="115"/>
      <c r="AT11" s="115"/>
      <c r="AU11" s="115"/>
      <c r="AV11" s="115"/>
      <c r="AW11" s="124"/>
      <c r="AX11" s="528"/>
      <c r="AY11" s="122"/>
      <c r="AZ11" s="605"/>
      <c r="BA11" s="747"/>
      <c r="BB11" s="747"/>
      <c r="BC11" s="747"/>
      <c r="BD11" s="747"/>
      <c r="BE11" s="747"/>
      <c r="BF11" s="747"/>
      <c r="BG11" s="747"/>
      <c r="BH11" s="747"/>
      <c r="BI11" s="747"/>
      <c r="BJ11" s="747"/>
      <c r="BK11" s="747"/>
      <c r="BL11" s="748"/>
      <c r="BM11" s="122"/>
      <c r="BN11" s="122"/>
      <c r="BO11" s="154" t="s">
        <v>118</v>
      </c>
      <c r="BP11" s="142"/>
      <c r="BQ11" s="142"/>
      <c r="BR11" s="142"/>
      <c r="BS11" s="478"/>
      <c r="BT11" s="122"/>
      <c r="BU11" s="144" t="str">
        <f t="shared" si="0"/>
        <v/>
      </c>
      <c r="BV11" s="736"/>
      <c r="BW11" s="143">
        <f>SLS!W34</f>
        <v>-0.38</v>
      </c>
      <c r="BX11" s="446" t="e">
        <f t="shared" si="12"/>
        <v>#DIV/0!</v>
      </c>
      <c r="BY11" s="447">
        <f>ROUNDUP(SLS!AB34,0)</f>
        <v>16</v>
      </c>
      <c r="BZ11" s="466">
        <f t="shared" si="9"/>
        <v>4.5859199999999998</v>
      </c>
      <c r="CA11" s="467">
        <f t="shared" si="10"/>
        <v>7.1654999999999998</v>
      </c>
      <c r="CB11" s="468">
        <f t="shared" si="11"/>
        <v>8.1891428571428566</v>
      </c>
      <c r="CC11" s="122"/>
      <c r="CD11" s="144" t="str">
        <f t="shared" si="1"/>
        <v/>
      </c>
      <c r="CE11" s="738"/>
      <c r="CF11" s="143">
        <f>'A1'!W34</f>
        <v>-0.38</v>
      </c>
      <c r="CG11" s="446">
        <f>'A1'!Z34</f>
        <v>0</v>
      </c>
      <c r="CH11" s="447">
        <f>ROUNDUP('A1'!AB34,0)</f>
        <v>16</v>
      </c>
      <c r="CI11" s="461">
        <f t="shared" si="2"/>
        <v>4.5859199999999998</v>
      </c>
      <c r="CJ11" s="462">
        <f t="shared" si="3"/>
        <v>7.1654999999999998</v>
      </c>
      <c r="CK11" s="463">
        <f t="shared" si="4"/>
        <v>8.1891428571428566</v>
      </c>
      <c r="CL11" s="122"/>
      <c r="CM11" s="144" t="str">
        <f t="shared" si="5"/>
        <v/>
      </c>
      <c r="CN11" s="738"/>
      <c r="CO11" s="143">
        <f>'A2'!W34</f>
        <v>-0.38</v>
      </c>
      <c r="CP11" s="446">
        <f>'A2'!Z34</f>
        <v>0</v>
      </c>
      <c r="CQ11" s="447">
        <f>ROUNDUP('A2'!AB34,0)</f>
        <v>16</v>
      </c>
      <c r="CR11" s="461">
        <f t="shared" si="6"/>
        <v>4.5859199999999998</v>
      </c>
      <c r="CS11" s="462">
        <f t="shared" si="7"/>
        <v>7.1654999999999998</v>
      </c>
      <c r="CT11" s="463">
        <f t="shared" si="8"/>
        <v>8.1891428571428566</v>
      </c>
      <c r="CU11" s="122"/>
      <c r="CV11" s="122"/>
      <c r="CW11" s="122"/>
      <c r="CX11" s="122"/>
      <c r="CY11" s="122"/>
      <c r="CZ11" s="122"/>
      <c r="DA11" s="122"/>
      <c r="DB11" s="122"/>
      <c r="DC11" s="122"/>
      <c r="DD11" s="122"/>
      <c r="DE11" s="122"/>
      <c r="DF11" s="122"/>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row>
    <row r="12" spans="1:150" s="146" customFormat="1" ht="13.5" customHeight="1">
      <c r="A12" s="866" t="s">
        <v>12</v>
      </c>
      <c r="B12" s="867"/>
      <c r="C12" s="868"/>
      <c r="D12" s="1159"/>
      <c r="E12" s="1160"/>
      <c r="F12" s="871">
        <f>IF(D12="",0,IF(D12&lt;1,0,IF(D12="","",G6-F11)))</f>
        <v>0</v>
      </c>
      <c r="G12" s="872"/>
      <c r="H12" s="873">
        <v>10</v>
      </c>
      <c r="I12" s="874"/>
      <c r="J12" s="875">
        <v>4.5</v>
      </c>
      <c r="K12" s="876"/>
      <c r="L12" s="877">
        <v>3</v>
      </c>
      <c r="M12" s="878"/>
      <c r="N12" s="753">
        <v>30</v>
      </c>
      <c r="O12" s="754"/>
      <c r="P12" s="195"/>
      <c r="Q12" s="849">
        <f>F12*J12*L12</f>
        <v>0</v>
      </c>
      <c r="R12" s="849"/>
      <c r="S12" s="196"/>
      <c r="T12" s="124"/>
      <c r="X12" s="197" t="str">
        <f>IF(AD10&gt;AD8,"Durch die Begrenzung am M+D-Regler nicht möglich!","")</f>
        <v/>
      </c>
      <c r="AR12" s="115"/>
      <c r="AS12" s="115"/>
      <c r="AT12" s="115"/>
      <c r="AU12" s="115"/>
      <c r="AV12" s="115"/>
      <c r="AW12" s="124"/>
      <c r="AX12" s="528"/>
      <c r="AY12" s="122"/>
      <c r="AZ12" s="605"/>
      <c r="BA12" s="747"/>
      <c r="BB12" s="747"/>
      <c r="BC12" s="747"/>
      <c r="BD12" s="747"/>
      <c r="BE12" s="747"/>
      <c r="BF12" s="747"/>
      <c r="BG12" s="747"/>
      <c r="BH12" s="747"/>
      <c r="BI12" s="747"/>
      <c r="BJ12" s="747"/>
      <c r="BK12" s="747"/>
      <c r="BL12" s="748"/>
      <c r="BM12" s="122"/>
      <c r="BN12" s="122"/>
      <c r="BO12" s="173" t="s">
        <v>63</v>
      </c>
      <c r="BP12" s="142"/>
      <c r="BQ12" s="142"/>
      <c r="BR12" s="142"/>
      <c r="BS12" s="478"/>
      <c r="BT12" s="122"/>
      <c r="BU12" s="144" t="str">
        <f t="shared" si="0"/>
        <v/>
      </c>
      <c r="BV12" s="736"/>
      <c r="BW12" s="143">
        <f>SLS!W35</f>
        <v>-0.38</v>
      </c>
      <c r="BX12" s="446" t="e">
        <f t="shared" si="12"/>
        <v>#DIV/0!</v>
      </c>
      <c r="BY12" s="447">
        <f>ROUNDUP(SLS!AB35,0)</f>
        <v>16</v>
      </c>
      <c r="BZ12" s="466">
        <f t="shared" si="9"/>
        <v>4.5859199999999998</v>
      </c>
      <c r="CA12" s="467">
        <f t="shared" si="10"/>
        <v>7.1654999999999998</v>
      </c>
      <c r="CB12" s="468">
        <f t="shared" si="11"/>
        <v>8.1891428571428566</v>
      </c>
      <c r="CC12" s="122"/>
      <c r="CD12" s="144" t="str">
        <f t="shared" si="1"/>
        <v/>
      </c>
      <c r="CE12" s="738"/>
      <c r="CF12" s="143">
        <f>'A1'!W35</f>
        <v>-0.38</v>
      </c>
      <c r="CG12" s="446">
        <f>'A1'!Z35</f>
        <v>0</v>
      </c>
      <c r="CH12" s="447">
        <f>ROUNDUP('A1'!AB35,0)</f>
        <v>16</v>
      </c>
      <c r="CI12" s="461">
        <f t="shared" si="2"/>
        <v>4.5859199999999998</v>
      </c>
      <c r="CJ12" s="462">
        <f t="shared" si="3"/>
        <v>7.1654999999999998</v>
      </c>
      <c r="CK12" s="463">
        <f t="shared" si="4"/>
        <v>8.1891428571428566</v>
      </c>
      <c r="CL12" s="122"/>
      <c r="CM12" s="144" t="str">
        <f t="shared" si="5"/>
        <v/>
      </c>
      <c r="CN12" s="738"/>
      <c r="CO12" s="143">
        <f>'A2'!W35</f>
        <v>-0.38</v>
      </c>
      <c r="CP12" s="446">
        <f>'A2'!Z35</f>
        <v>0</v>
      </c>
      <c r="CQ12" s="447">
        <f>ROUNDUP('A2'!AB35,0)</f>
        <v>16</v>
      </c>
      <c r="CR12" s="461">
        <f t="shared" si="6"/>
        <v>4.5859199999999998</v>
      </c>
      <c r="CS12" s="462">
        <f t="shared" si="7"/>
        <v>7.1654999999999998</v>
      </c>
      <c r="CT12" s="463">
        <f t="shared" si="8"/>
        <v>8.1891428571428566</v>
      </c>
      <c r="CU12" s="122"/>
      <c r="CV12" s="122"/>
      <c r="CW12" s="122"/>
      <c r="CX12" s="122"/>
      <c r="CY12" s="122"/>
      <c r="CZ12" s="122"/>
      <c r="DA12" s="122"/>
      <c r="DB12" s="122"/>
      <c r="DC12" s="122"/>
      <c r="DD12" s="122"/>
      <c r="DE12" s="122"/>
      <c r="DF12" s="122"/>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row>
    <row r="13" spans="1:150" s="146" customFormat="1" ht="13.5" customHeight="1" thickBot="1">
      <c r="A13" s="1162"/>
      <c r="B13" s="1163"/>
      <c r="C13" s="1164"/>
      <c r="D13" s="1167"/>
      <c r="E13" s="1168"/>
      <c r="F13" s="1165"/>
      <c r="G13" s="1166"/>
      <c r="H13" s="1178"/>
      <c r="I13" s="1179"/>
      <c r="J13" s="1135"/>
      <c r="K13" s="1136"/>
      <c r="L13" s="1155"/>
      <c r="M13" s="1156"/>
      <c r="N13" s="1176"/>
      <c r="O13" s="1177"/>
      <c r="P13" s="198"/>
      <c r="Q13" s="1161">
        <f>IF(A13="",0,F13*J13*L13)</f>
        <v>0</v>
      </c>
      <c r="R13" s="1161"/>
      <c r="S13" s="199"/>
      <c r="T13" s="124"/>
      <c r="U13" s="204"/>
      <c r="Y13" s="205"/>
      <c r="AR13" s="115"/>
      <c r="AS13" s="115"/>
      <c r="AT13" s="115"/>
      <c r="AU13" s="115"/>
      <c r="AV13" s="115"/>
      <c r="AW13" s="124"/>
      <c r="AX13" s="528"/>
      <c r="AY13" s="122"/>
      <c r="AZ13" s="605"/>
      <c r="BA13" s="574" t="s">
        <v>230</v>
      </c>
      <c r="BB13" s="575"/>
      <c r="BC13" s="575"/>
      <c r="BD13" s="575"/>
      <c r="BE13" s="575"/>
      <c r="BF13" s="575"/>
      <c r="BG13" s="575"/>
      <c r="BH13" s="575"/>
      <c r="BI13" s="575"/>
      <c r="BJ13" s="576"/>
      <c r="BK13" s="540"/>
      <c r="BL13" s="606"/>
      <c r="BM13" s="122"/>
      <c r="BN13" s="122"/>
      <c r="BO13" s="324" t="s">
        <v>62</v>
      </c>
      <c r="BP13" s="210"/>
      <c r="BQ13" s="210"/>
      <c r="BR13" s="210"/>
      <c r="BS13" s="479"/>
      <c r="BT13" s="122"/>
      <c r="BU13" s="443" t="str">
        <f t="shared" si="0"/>
        <v/>
      </c>
      <c r="BV13" s="737"/>
      <c r="BW13" s="444">
        <f>SLS!W36</f>
        <v>-0.94</v>
      </c>
      <c r="BX13" s="446" t="e">
        <f t="shared" si="12"/>
        <v>#DIV/0!</v>
      </c>
      <c r="BY13" s="448">
        <f>ROUNDUP(SLS!AB36,0)</f>
        <v>40</v>
      </c>
      <c r="BZ13" s="536">
        <f t="shared" si="9"/>
        <v>11.4648</v>
      </c>
      <c r="CA13" s="537">
        <f t="shared" si="10"/>
        <v>17.91375</v>
      </c>
      <c r="CB13" s="538">
        <f t="shared" si="11"/>
        <v>20.472857142857144</v>
      </c>
      <c r="CC13" s="122"/>
      <c r="CD13" s="443" t="str">
        <f t="shared" si="1"/>
        <v/>
      </c>
      <c r="CE13" s="739"/>
      <c r="CF13" s="444">
        <f>'A1'!W36</f>
        <v>-0.94</v>
      </c>
      <c r="CG13" s="446">
        <f>'A1'!Z36</f>
        <v>0</v>
      </c>
      <c r="CH13" s="448">
        <f>ROUNDUP('A1'!AB36,0)</f>
        <v>40</v>
      </c>
      <c r="CI13" s="458">
        <f t="shared" si="2"/>
        <v>11.4648</v>
      </c>
      <c r="CJ13" s="459">
        <f t="shared" si="3"/>
        <v>17.91375</v>
      </c>
      <c r="CK13" s="460">
        <f t="shared" si="4"/>
        <v>20.472857142857144</v>
      </c>
      <c r="CL13" s="122"/>
      <c r="CM13" s="443" t="str">
        <f t="shared" si="5"/>
        <v/>
      </c>
      <c r="CN13" s="739"/>
      <c r="CO13" s="444">
        <f>'A2'!W36</f>
        <v>-0.94</v>
      </c>
      <c r="CP13" s="446">
        <f>'A2'!Z36</f>
        <v>0</v>
      </c>
      <c r="CQ13" s="448">
        <f>ROUNDUP('A2'!AB36,0)</f>
        <v>40</v>
      </c>
      <c r="CR13" s="458">
        <f t="shared" si="6"/>
        <v>11.4648</v>
      </c>
      <c r="CS13" s="459">
        <f t="shared" si="7"/>
        <v>17.91375</v>
      </c>
      <c r="CT13" s="460">
        <f t="shared" si="8"/>
        <v>20.472857142857144</v>
      </c>
      <c r="CU13" s="122"/>
      <c r="CV13" s="122"/>
      <c r="CW13" s="122"/>
      <c r="CX13" s="122"/>
      <c r="CY13" s="122"/>
      <c r="CZ13" s="122"/>
      <c r="DA13" s="122"/>
      <c r="DB13" s="122"/>
      <c r="DC13" s="122"/>
      <c r="DD13" s="122"/>
      <c r="DE13" s="122"/>
      <c r="DF13" s="122"/>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row>
    <row r="14" spans="1:150" s="146" customFormat="1" ht="13.5" customHeight="1" thickTop="1" thickBot="1">
      <c r="A14" s="516"/>
      <c r="B14" s="234"/>
      <c r="C14" s="234"/>
      <c r="D14" s="234"/>
      <c r="E14" s="234"/>
      <c r="F14" s="234"/>
      <c r="G14" s="234"/>
      <c r="H14" s="234"/>
      <c r="I14" s="234"/>
      <c r="J14" s="234"/>
      <c r="K14" s="499"/>
      <c r="L14" s="234"/>
      <c r="M14" s="589"/>
      <c r="O14" s="590" t="s">
        <v>238</v>
      </c>
      <c r="P14" s="200" t="e">
        <f>(N11*Q11+N12*Q12+N13*Q13)/Q14</f>
        <v>#DIV/0!</v>
      </c>
      <c r="Q14" s="902">
        <f>Q11+Q12+Q13</f>
        <v>0</v>
      </c>
      <c r="R14" s="902"/>
      <c r="S14" s="201"/>
      <c r="T14" s="124"/>
      <c r="U14" s="903" t="s">
        <v>161</v>
      </c>
      <c r="V14" s="904"/>
      <c r="W14" s="217" t="s">
        <v>162</v>
      </c>
      <c r="X14" s="218"/>
      <c r="Y14" s="218"/>
      <c r="Z14" s="218"/>
      <c r="AA14" s="218"/>
      <c r="AB14" s="218"/>
      <c r="AC14" s="218"/>
      <c r="AD14" s="218"/>
      <c r="AE14" s="218"/>
      <c r="AF14" s="218"/>
      <c r="AG14" s="218"/>
      <c r="AH14" s="218"/>
      <c r="AI14" s="218"/>
      <c r="AJ14" s="218"/>
      <c r="AK14" s="218"/>
      <c r="AL14" s="432"/>
      <c r="AM14" s="432"/>
      <c r="AN14" s="432"/>
      <c r="AO14" s="432"/>
      <c r="AP14" s="432"/>
      <c r="AQ14" s="485"/>
      <c r="AR14" s="124"/>
      <c r="AS14" s="115"/>
      <c r="AT14" s="115"/>
      <c r="AU14" s="115"/>
      <c r="AV14" s="115"/>
      <c r="AW14" s="124"/>
      <c r="AX14" s="528"/>
      <c r="AY14" s="122"/>
      <c r="AZ14" s="605"/>
      <c r="BA14" s="905" t="e">
        <f>R18/1000</f>
        <v>#VALUE!</v>
      </c>
      <c r="BB14" s="906"/>
      <c r="BC14" s="906"/>
      <c r="BD14" s="906"/>
      <c r="BE14" s="907">
        <f>N16</f>
        <v>10</v>
      </c>
      <c r="BF14" s="907"/>
      <c r="BG14" s="907"/>
      <c r="BH14" s="908">
        <f>Q18</f>
        <v>60</v>
      </c>
      <c r="BI14" s="908"/>
      <c r="BJ14" s="909"/>
      <c r="BK14" s="540"/>
      <c r="BL14" s="606"/>
      <c r="BM14" s="122"/>
      <c r="BN14" s="122"/>
      <c r="BO14" s="910" t="s">
        <v>119</v>
      </c>
      <c r="BP14" s="911"/>
      <c r="BQ14" s="911"/>
      <c r="BR14" s="911"/>
      <c r="BS14" s="912"/>
      <c r="BT14" s="122"/>
      <c r="BU14" s="879" t="str">
        <f>G21</f>
        <v>Hotel-Standard</v>
      </c>
      <c r="BV14" s="880"/>
      <c r="BW14" s="880"/>
      <c r="BX14" s="880"/>
      <c r="BY14" s="880"/>
      <c r="BZ14" s="291"/>
      <c r="CA14" s="291"/>
      <c r="CB14" s="450"/>
      <c r="CC14" s="122"/>
      <c r="CD14" s="879" t="str">
        <f>V16</f>
        <v>Hotel-Standard</v>
      </c>
      <c r="CE14" s="880"/>
      <c r="CF14" s="880"/>
      <c r="CG14" s="880"/>
      <c r="CH14" s="880"/>
      <c r="CI14" s="122"/>
      <c r="CJ14" s="122"/>
      <c r="CK14" s="122"/>
      <c r="CL14" s="122"/>
      <c r="CM14" s="879" t="str">
        <f>V22</f>
        <v>Hotel-Standard</v>
      </c>
      <c r="CN14" s="880"/>
      <c r="CO14" s="880"/>
      <c r="CP14" s="880"/>
      <c r="CQ14" s="880"/>
      <c r="CR14" s="122"/>
      <c r="CS14" s="122"/>
      <c r="CT14" s="122"/>
      <c r="CU14" s="122"/>
      <c r="CV14" s="122"/>
      <c r="CW14" s="122"/>
      <c r="CX14" s="122"/>
      <c r="CY14" s="122"/>
      <c r="CZ14" s="122"/>
      <c r="DA14" s="122"/>
      <c r="DB14" s="122"/>
      <c r="DC14" s="122"/>
      <c r="DD14" s="122"/>
      <c r="DE14" s="122"/>
      <c r="DF14" s="122"/>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row>
    <row r="15" spans="1:150" s="146" customFormat="1" ht="13.5" customHeight="1" thickBot="1">
      <c r="A15" s="881" t="s">
        <v>122</v>
      </c>
      <c r="B15" s="882"/>
      <c r="C15" s="882"/>
      <c r="D15" s="882"/>
      <c r="E15" s="882"/>
      <c r="F15" s="882"/>
      <c r="G15" s="882"/>
      <c r="H15" s="883"/>
      <c r="I15" s="124"/>
      <c r="J15" s="124"/>
      <c r="K15" s="887" t="s">
        <v>237</v>
      </c>
      <c r="L15" s="887"/>
      <c r="M15" s="888"/>
      <c r="N15" s="508" t="s">
        <v>14</v>
      </c>
      <c r="O15" s="893" t="s">
        <v>151</v>
      </c>
      <c r="P15" s="894"/>
      <c r="Q15" s="509" t="s">
        <v>14</v>
      </c>
      <c r="R15" s="895" t="s">
        <v>152</v>
      </c>
      <c r="S15" s="896"/>
      <c r="T15" s="124"/>
      <c r="U15" s="487"/>
      <c r="V15" s="897" t="s">
        <v>217</v>
      </c>
      <c r="W15" s="897"/>
      <c r="X15" s="897"/>
      <c r="Y15" s="897"/>
      <c r="Z15" s="898"/>
      <c r="AA15" s="899" t="s">
        <v>187</v>
      </c>
      <c r="AB15" s="900"/>
      <c r="AC15" s="1143"/>
      <c r="AD15" s="1143"/>
      <c r="AE15" s="916" t="s">
        <v>207</v>
      </c>
      <c r="AF15" s="917"/>
      <c r="AG15" s="1174" t="s">
        <v>157</v>
      </c>
      <c r="AH15" s="1174"/>
      <c r="AI15" s="1174"/>
      <c r="AJ15" s="1174"/>
      <c r="AK15" s="1174"/>
      <c r="AL15" s="1174"/>
      <c r="AM15" s="371"/>
      <c r="AN15" s="371"/>
      <c r="AO15" s="371"/>
      <c r="AP15" s="520" t="s">
        <v>19</v>
      </c>
      <c r="AQ15" s="293"/>
      <c r="AR15" s="115"/>
      <c r="AS15" s="115"/>
      <c r="AT15" s="115"/>
      <c r="AU15" s="115"/>
      <c r="AV15" s="115"/>
      <c r="AW15" s="124"/>
      <c r="AX15" s="528"/>
      <c r="AY15" s="122"/>
      <c r="AZ15" s="605"/>
      <c r="BA15" s="571"/>
      <c r="BB15" s="919" t="e">
        <f>BA14*1.163*(Q18-N16)</f>
        <v>#VALUE!</v>
      </c>
      <c r="BC15" s="919"/>
      <c r="BD15" s="919"/>
      <c r="BE15" s="919"/>
      <c r="BF15" s="919"/>
      <c r="BG15" s="540"/>
      <c r="BH15" s="540"/>
      <c r="BI15" s="540"/>
      <c r="BJ15" s="541"/>
      <c r="BK15" s="540"/>
      <c r="BL15" s="606"/>
      <c r="BM15" s="122"/>
      <c r="BN15" s="122"/>
      <c r="BO15" s="913"/>
      <c r="BP15" s="914"/>
      <c r="BQ15" s="914"/>
      <c r="BR15" s="914"/>
      <c r="BS15" s="915"/>
      <c r="BT15" s="122"/>
      <c r="BU15" s="194"/>
      <c r="BV15" s="471">
        <f>BV8</f>
        <v>0</v>
      </c>
      <c r="BW15" s="186">
        <f>VLOOKUP(BU14,BO7:BW13,9,0)</f>
        <v>-0.13</v>
      </c>
      <c r="BX15" s="483" t="e">
        <f>VLOOKUP(BU14,BO7:BX13,10,0)</f>
        <v>#DIV/0!</v>
      </c>
      <c r="BY15" s="322">
        <f>VLOOKUP(BU14,BO7:BY13,11,0)</f>
        <v>6</v>
      </c>
      <c r="BZ15" s="440">
        <f>VLOOKUP(BU14,BO7:BZ13,12,0)</f>
        <v>1.7197199999999997</v>
      </c>
      <c r="CA15" s="484">
        <f>VLOOKUP(BU14,BO7:CA13,13,0)</f>
        <v>2.6870624999999997</v>
      </c>
      <c r="CB15" s="186">
        <f>VLOOKUP(BU14,BO8:CB13,14,0)</f>
        <v>3.070928571428571</v>
      </c>
      <c r="CC15" s="122"/>
      <c r="CD15" s="194"/>
      <c r="CE15" s="471">
        <f>IF(CD7="X",CE7,CE8)</f>
        <v>0</v>
      </c>
      <c r="CF15" s="186">
        <f>VLOOKUP(CD14,BO7:CG13,18,0)</f>
        <v>-0.13</v>
      </c>
      <c r="CG15" s="483">
        <f>VLOOKUP(CD14,BO7:CH13,19,0)</f>
        <v>0</v>
      </c>
      <c r="CH15" s="322">
        <f>VLOOKUP(CD14,BO7:CI13,20,0)</f>
        <v>6</v>
      </c>
      <c r="CI15" s="440">
        <f>VLOOKUP(CD14,BO7:CJ13,21,0)</f>
        <v>1.7197199999999997</v>
      </c>
      <c r="CJ15" s="484">
        <f>VLOOKUP(CD14,BO7:CK13,22,0)</f>
        <v>2.6870624999999997</v>
      </c>
      <c r="CK15" s="186">
        <f>VLOOKUP(CD14,BO7:CK13,23,0)</f>
        <v>3.070928571428571</v>
      </c>
      <c r="CL15" s="122"/>
      <c r="CM15" s="194"/>
      <c r="CN15" s="471">
        <f>IF(CM7="X",CN7,CN8)</f>
        <v>0</v>
      </c>
      <c r="CO15" s="186">
        <f>VLOOKUP(CM14,BO7:CO13,27,0)</f>
        <v>-0.13</v>
      </c>
      <c r="CP15" s="483">
        <f>VLOOKUP(CM14,BO7:CQ13,28,0)</f>
        <v>0</v>
      </c>
      <c r="CQ15" s="322">
        <f>VLOOKUP(CM14,BO7:CQ13,29,0)</f>
        <v>6</v>
      </c>
      <c r="CR15" s="440">
        <f>VLOOKUP(CM14,BO7:CR13,30,0)</f>
        <v>1.7197199999999997</v>
      </c>
      <c r="CS15" s="484">
        <f>VLOOKUP(CM14,BO7:CS13,31,0)</f>
        <v>2.6870624999999997</v>
      </c>
      <c r="CT15" s="186">
        <f>VLOOKUP(CM14,BO7:CT13,32,0)</f>
        <v>3.070928571428571</v>
      </c>
      <c r="CU15" s="122"/>
      <c r="CV15" s="122"/>
      <c r="CW15" s="122"/>
      <c r="CX15" s="122"/>
      <c r="CY15" s="122"/>
      <c r="CZ15" s="122"/>
      <c r="DA15" s="122"/>
      <c r="DB15" s="122"/>
      <c r="DC15" s="122"/>
      <c r="DD15" s="122"/>
      <c r="DE15" s="122"/>
      <c r="DF15" s="122"/>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row>
    <row r="16" spans="1:150" s="146" customFormat="1" ht="13.5" customHeight="1" thickBot="1">
      <c r="A16" s="884"/>
      <c r="B16" s="885"/>
      <c r="C16" s="885"/>
      <c r="D16" s="885"/>
      <c r="E16" s="885"/>
      <c r="F16" s="885"/>
      <c r="G16" s="885"/>
      <c r="H16" s="886"/>
      <c r="I16" s="124"/>
      <c r="J16" s="124"/>
      <c r="K16" s="889"/>
      <c r="L16" s="889"/>
      <c r="M16" s="890"/>
      <c r="N16" s="961">
        <v>10</v>
      </c>
      <c r="O16" s="963" t="str">
        <f>IF(A10=0,"",Q14*(Q16-P14)/(Q16-N16))</f>
        <v/>
      </c>
      <c r="P16" s="964"/>
      <c r="Q16" s="510">
        <v>38</v>
      </c>
      <c r="R16" s="965" t="str">
        <f>IF(A10=0,"",Q14-O16)</f>
        <v/>
      </c>
      <c r="S16" s="966"/>
      <c r="T16" s="207"/>
      <c r="V16" s="1145" t="s">
        <v>117</v>
      </c>
      <c r="W16" s="1146"/>
      <c r="X16" s="1146"/>
      <c r="Y16" s="1146"/>
      <c r="Z16" s="1146"/>
      <c r="AA16" s="1147"/>
      <c r="AB16" s="1147"/>
      <c r="AC16" s="1147"/>
      <c r="AD16" s="1148"/>
      <c r="AI16" s="971" t="s">
        <v>13</v>
      </c>
      <c r="AJ16" s="821"/>
      <c r="AK16" s="972"/>
      <c r="AL16" s="971" t="s">
        <v>12</v>
      </c>
      <c r="AM16" s="821"/>
      <c r="AN16" s="972"/>
      <c r="AO16" s="1140" t="str">
        <f>IF(A13="","",A13)</f>
        <v/>
      </c>
      <c r="AP16" s="1141"/>
      <c r="AQ16" s="1142"/>
      <c r="AR16" s="124"/>
      <c r="AS16" s="115"/>
      <c r="AT16" s="115"/>
      <c r="AU16" s="115"/>
      <c r="AV16" s="115"/>
      <c r="AW16" s="124"/>
      <c r="AX16" s="528"/>
      <c r="AY16" s="122"/>
      <c r="AZ16" s="605"/>
      <c r="BA16" s="571"/>
      <c r="BB16" s="569" t="s">
        <v>231</v>
      </c>
      <c r="BC16" s="540"/>
      <c r="BD16" s="540"/>
      <c r="BE16" s="540"/>
      <c r="BF16" s="540"/>
      <c r="BG16" s="540"/>
      <c r="BH16" s="540"/>
      <c r="BI16" s="540"/>
      <c r="BJ16" s="541"/>
      <c r="BK16" s="540"/>
      <c r="BL16" s="606"/>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row>
    <row r="17" spans="1:150" s="146" customFormat="1" ht="13.5" customHeight="1">
      <c r="A17" s="516"/>
      <c r="B17" s="226"/>
      <c r="C17" s="502" t="s">
        <v>120</v>
      </c>
      <c r="D17" s="923" t="str">
        <f>IF(A10=0,"",ROUNDUP(IF(O42=1,10,HLOOKUP(1,M42:AP43,2,0)),0))</f>
        <v/>
      </c>
      <c r="E17" s="923"/>
      <c r="F17" s="503" t="s">
        <v>6</v>
      </c>
      <c r="G17" s="504"/>
      <c r="H17" s="521"/>
      <c r="I17" s="124"/>
      <c r="J17" s="124"/>
      <c r="K17" s="889"/>
      <c r="L17" s="889"/>
      <c r="M17" s="890"/>
      <c r="N17" s="962"/>
      <c r="O17" s="924" t="str">
        <f>IF(A10=0,"",Q14*(Q17-P14)/(Q17-N16))</f>
        <v/>
      </c>
      <c r="P17" s="925"/>
      <c r="Q17" s="510">
        <v>42</v>
      </c>
      <c r="R17" s="926" t="str">
        <f>IF(A10=0,"",Q14-O17)</f>
        <v/>
      </c>
      <c r="S17" s="927"/>
      <c r="T17" s="207"/>
      <c r="U17" s="928" t="str">
        <f>IF(AQ15&gt;1,"jeweils","")</f>
        <v/>
      </c>
      <c r="V17" s="929"/>
      <c r="W17" s="929"/>
      <c r="Z17" s="595" t="s">
        <v>219</v>
      </c>
      <c r="AA17" s="952" t="str">
        <f>IF(AC15="","",CH15)</f>
        <v/>
      </c>
      <c r="AB17" s="952"/>
      <c r="AC17" s="952"/>
      <c r="AD17" s="953" t="s">
        <v>206</v>
      </c>
      <c r="AE17" s="954"/>
      <c r="AF17" s="954"/>
      <c r="AG17" s="954"/>
      <c r="AH17" s="955"/>
      <c r="AI17" s="486"/>
      <c r="AJ17" s="1130"/>
      <c r="AK17" s="1131"/>
      <c r="AL17" s="486"/>
      <c r="AM17" s="1126"/>
      <c r="AN17" s="1127"/>
      <c r="AO17" s="486"/>
      <c r="AP17" s="1126"/>
      <c r="AQ17" s="1182"/>
      <c r="AR17" s="124"/>
      <c r="AS17" s="115"/>
      <c r="AT17" s="115"/>
      <c r="AU17" s="115"/>
      <c r="AV17" s="115"/>
      <c r="AW17" s="124"/>
      <c r="AX17" s="528"/>
      <c r="AY17" s="122"/>
      <c r="AZ17" s="605"/>
      <c r="BA17" s="572"/>
      <c r="BB17" s="930">
        <f>I23</f>
        <v>0</v>
      </c>
      <c r="BC17" s="930"/>
      <c r="BD17" s="930"/>
      <c r="BE17" s="931">
        <f>D18</f>
        <v>0</v>
      </c>
      <c r="BF17" s="931"/>
      <c r="BG17" s="931"/>
      <c r="BH17" s="932"/>
      <c r="BI17" s="932"/>
      <c r="BJ17" s="933"/>
      <c r="BK17" s="540"/>
      <c r="BL17" s="606"/>
      <c r="BM17" s="122"/>
      <c r="BN17" s="122"/>
      <c r="BO17" s="934" t="s">
        <v>148</v>
      </c>
      <c r="BP17" s="935"/>
      <c r="BQ17" s="935"/>
      <c r="BR17" s="935"/>
      <c r="BS17" s="936"/>
      <c r="BT17" s="122"/>
      <c r="BU17" s="937" t="str">
        <f>"Zur Verfügung stehende Wärmearbeit im erwarteten Nutzungszeitraum von "&amp;D18&amp;" Minuten"</f>
        <v>Zur Verfügung stehende Wärmearbeit im erwarteten Nutzungszeitraum von  Minuten</v>
      </c>
      <c r="BV17" s="938"/>
      <c r="BW17" s="938"/>
      <c r="BX17" s="938"/>
      <c r="BY17" s="938"/>
      <c r="BZ17" s="938"/>
      <c r="CA17" s="938"/>
      <c r="CB17" s="939"/>
      <c r="CC17" s="549"/>
      <c r="CD17" s="549"/>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row>
    <row r="18" spans="1:150" s="146" customFormat="1" ht="13.5" customHeight="1" thickBot="1">
      <c r="A18" s="206"/>
      <c r="B18" s="209"/>
      <c r="C18" s="507" t="s">
        <v>121</v>
      </c>
      <c r="D18" s="1137"/>
      <c r="E18" s="1137"/>
      <c r="F18" s="208" t="s">
        <v>6</v>
      </c>
      <c r="G18" s="208"/>
      <c r="H18" s="522"/>
      <c r="I18" s="224"/>
      <c r="J18" s="224"/>
      <c r="K18" s="891"/>
      <c r="L18" s="891"/>
      <c r="M18" s="892"/>
      <c r="N18" s="962"/>
      <c r="O18" s="944" t="str">
        <f>IF(A10=0,"",Q14*(Q18-P14)/(Q18-N16))</f>
        <v/>
      </c>
      <c r="P18" s="945"/>
      <c r="Q18" s="511">
        <v>60</v>
      </c>
      <c r="R18" s="946" t="str">
        <f>IF(A10=0,"",Q14-O18)</f>
        <v/>
      </c>
      <c r="S18" s="947"/>
      <c r="T18" s="207"/>
      <c r="U18" s="614"/>
      <c r="V18" s="615"/>
      <c r="Z18" s="595" t="s">
        <v>218</v>
      </c>
      <c r="AA18" s="488"/>
      <c r="AB18" s="948" t="str">
        <f>IF(AC15="","",CG15)</f>
        <v/>
      </c>
      <c r="AC18" s="948"/>
      <c r="AD18" s="1188" t="str">
        <f>IF(V16=BO7,"gleichzeitig","")</f>
        <v/>
      </c>
      <c r="AE18" s="1189"/>
      <c r="AF18" s="1189"/>
      <c r="AG18" s="1189"/>
      <c r="AH18" s="1190"/>
      <c r="AI18" s="489"/>
      <c r="AJ18" s="1132"/>
      <c r="AK18" s="1133"/>
      <c r="AL18" s="489"/>
      <c r="AM18" s="1128"/>
      <c r="AN18" s="1129"/>
      <c r="AO18" s="489"/>
      <c r="AP18" s="1180"/>
      <c r="AQ18" s="1181"/>
      <c r="AR18" s="124"/>
      <c r="AS18" s="115"/>
      <c r="AT18" s="115"/>
      <c r="AU18" s="115"/>
      <c r="AV18" s="115"/>
      <c r="AW18" s="124"/>
      <c r="AX18" s="528"/>
      <c r="AY18" s="122"/>
      <c r="AZ18" s="605"/>
      <c r="BA18" s="571"/>
      <c r="BB18" s="919">
        <f>BB17/60*BE17</f>
        <v>0</v>
      </c>
      <c r="BC18" s="919"/>
      <c r="BD18" s="919"/>
      <c r="BE18" s="919"/>
      <c r="BF18" s="919"/>
      <c r="BG18" s="540"/>
      <c r="BH18" s="540"/>
      <c r="BI18" s="540"/>
      <c r="BJ18" s="541"/>
      <c r="BK18" s="540"/>
      <c r="BL18" s="606"/>
      <c r="BM18" s="122"/>
      <c r="BN18" s="122"/>
      <c r="BO18" s="988">
        <v>18</v>
      </c>
      <c r="BP18" s="989"/>
      <c r="BQ18" s="990"/>
      <c r="BR18" s="991" t="str">
        <f>AD11</f>
        <v/>
      </c>
      <c r="BS18" s="992"/>
      <c r="BT18" s="122"/>
      <c r="BU18" s="940"/>
      <c r="BV18" s="941"/>
      <c r="BW18" s="941"/>
      <c r="BX18" s="941"/>
      <c r="BY18" s="941"/>
      <c r="BZ18" s="941"/>
      <c r="CA18" s="941"/>
      <c r="CB18" s="942"/>
      <c r="CC18" s="549"/>
      <c r="CD18" s="549"/>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45"/>
      <c r="DM18" s="145"/>
      <c r="DN18" s="145"/>
      <c r="DO18" s="145"/>
      <c r="DP18" s="145"/>
      <c r="DQ18" s="145"/>
      <c r="DR18" s="145"/>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row>
    <row r="19" spans="1:150" s="146" customFormat="1" ht="13.5" customHeight="1" thickBot="1">
      <c r="A19" s="530"/>
      <c r="M19" s="203"/>
      <c r="O19" s="498"/>
      <c r="T19" s="207"/>
      <c r="U19" s="206"/>
      <c r="V19" s="612"/>
      <c r="W19" s="224"/>
      <c r="X19" s="224"/>
      <c r="Y19" s="224"/>
      <c r="Z19" s="224"/>
      <c r="AA19" s="224"/>
      <c r="AB19" s="224"/>
      <c r="AC19" s="224"/>
      <c r="AD19" s="613" t="str">
        <f>IF(AB18=0,"",VLOOKUP(AK19,BU28:BY33,5,1))</f>
        <v>Gesamte Schüttleistung mit</v>
      </c>
      <c r="AE19" s="1187"/>
      <c r="AF19" s="1187"/>
      <c r="AG19" s="994" t="str">
        <f>IF(AA17="","",AA17*14.331/($AE$19-N16))</f>
        <v/>
      </c>
      <c r="AH19" s="994"/>
      <c r="AI19" s="994"/>
      <c r="AJ19" s="994"/>
      <c r="AK19" s="1144" t="s">
        <v>116</v>
      </c>
      <c r="AL19" s="1144"/>
      <c r="AM19" s="1144"/>
      <c r="AN19" s="1144"/>
      <c r="AO19" s="996"/>
      <c r="AP19" s="996"/>
      <c r="AQ19" s="525"/>
      <c r="AR19" s="115"/>
      <c r="AS19" s="115"/>
      <c r="AT19" s="115"/>
      <c r="AU19" s="115"/>
      <c r="AV19" s="115"/>
      <c r="AW19" s="124"/>
      <c r="AX19" s="528"/>
      <c r="AY19" s="122"/>
      <c r="AZ19" s="605"/>
      <c r="BA19" s="539"/>
      <c r="BB19" s="542" t="s">
        <v>232</v>
      </c>
      <c r="BC19" s="542"/>
      <c r="BD19" s="542"/>
      <c r="BE19" s="542"/>
      <c r="BF19" s="542"/>
      <c r="BG19" s="542"/>
      <c r="BH19" s="542"/>
      <c r="BI19" s="542"/>
      <c r="BJ19" s="543"/>
      <c r="BK19" s="542"/>
      <c r="BL19" s="607"/>
      <c r="BM19" s="122"/>
      <c r="BN19" s="122"/>
      <c r="BO19" s="122"/>
      <c r="BP19" s="122"/>
      <c r="BQ19" s="122"/>
      <c r="BR19" s="122"/>
      <c r="BS19" s="122"/>
      <c r="BT19" s="122"/>
      <c r="BU19" s="245"/>
      <c r="BV19" s="210"/>
      <c r="BW19" s="210"/>
      <c r="BX19" s="977" t="e">
        <f>AM36+AM32</f>
        <v>#VALUE!</v>
      </c>
      <c r="BY19" s="977"/>
      <c r="BZ19" s="979" t="s">
        <v>57</v>
      </c>
      <c r="CA19" s="979"/>
      <c r="CB19" s="550"/>
      <c r="CC19" s="549"/>
      <c r="CD19" s="549"/>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row>
    <row r="20" spans="1:150" s="146" customFormat="1" ht="13.5" customHeight="1" thickBot="1">
      <c r="A20" s="981">
        <v>3</v>
      </c>
      <c r="B20" s="904"/>
      <c r="C20" s="217" t="s">
        <v>160</v>
      </c>
      <c r="D20" s="218"/>
      <c r="E20" s="218"/>
      <c r="F20" s="218"/>
      <c r="G20" s="218"/>
      <c r="H20" s="218"/>
      <c r="I20" s="218"/>
      <c r="J20" s="218"/>
      <c r="K20" s="218"/>
      <c r="L20" s="218"/>
      <c r="M20" s="218"/>
      <c r="N20" s="218"/>
      <c r="O20" s="218"/>
      <c r="P20" s="218"/>
      <c r="Q20" s="218"/>
      <c r="R20" s="218"/>
      <c r="S20" s="219"/>
      <c r="U20" s="211"/>
      <c r="V20" s="982" t="str">
        <f>IF(AD18="","",(AJ18+AM18)/AC15)</f>
        <v/>
      </c>
      <c r="W20" s="982"/>
      <c r="X20" s="523" t="str">
        <f>IF(AD18="","",IF(V20&gt;1,"Personenzahl überschritten","Gleichzeitigkeit der Personen"))</f>
        <v/>
      </c>
      <c r="Y20" s="212"/>
      <c r="Z20" s="212"/>
      <c r="AA20" s="212"/>
      <c r="AB20" s="212"/>
      <c r="AC20" s="212"/>
      <c r="AD20" s="212"/>
      <c r="AE20" s="212"/>
      <c r="AF20" s="212"/>
      <c r="AG20" s="212"/>
      <c r="AH20" s="212"/>
      <c r="AI20" s="212"/>
      <c r="AJ20" s="212"/>
      <c r="AK20" s="212"/>
      <c r="AL20" s="212"/>
      <c r="AM20" s="212"/>
      <c r="AN20" s="212"/>
      <c r="AO20" s="212"/>
      <c r="AP20" s="212"/>
      <c r="AQ20" s="524"/>
      <c r="AR20" s="115"/>
      <c r="AS20" s="115"/>
      <c r="AT20" s="115"/>
      <c r="AU20" s="115"/>
      <c r="AV20" s="115"/>
      <c r="AW20" s="124"/>
      <c r="AX20" s="528"/>
      <c r="AY20" s="122"/>
      <c r="AZ20" s="605"/>
      <c r="BA20" s="983" t="e">
        <f>BB15</f>
        <v>#VALUE!</v>
      </c>
      <c r="BB20" s="984"/>
      <c r="BC20" s="984"/>
      <c r="BD20" s="984"/>
      <c r="BE20" s="984"/>
      <c r="BF20" s="985">
        <f>BB18</f>
        <v>0</v>
      </c>
      <c r="BG20" s="985"/>
      <c r="BH20" s="985"/>
      <c r="BI20" s="570"/>
      <c r="BJ20" s="573"/>
      <c r="BK20" s="542"/>
      <c r="BL20" s="607"/>
      <c r="BM20" s="122"/>
      <c r="BN20" s="122"/>
      <c r="BO20" s="239" t="s">
        <v>157</v>
      </c>
      <c r="BP20" s="240"/>
      <c r="BQ20" s="241"/>
      <c r="BR20" s="242"/>
      <c r="BS20" s="122"/>
      <c r="BT20" s="122"/>
      <c r="BU20" s="281"/>
      <c r="BV20" s="179"/>
      <c r="BW20" s="179"/>
      <c r="BX20" s="978"/>
      <c r="BY20" s="978"/>
      <c r="BZ20" s="980"/>
      <c r="CA20" s="980"/>
      <c r="CB20" s="551"/>
      <c r="CC20" s="549"/>
      <c r="CD20" s="549"/>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45"/>
      <c r="DM20" s="145"/>
      <c r="DN20" s="145"/>
      <c r="DO20" s="145"/>
      <c r="DP20" s="145"/>
      <c r="DQ20" s="145"/>
      <c r="DR20" s="145"/>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row>
    <row r="21" spans="1:150" s="146" customFormat="1" ht="13.5" customHeight="1" thickBot="1">
      <c r="A21" s="202" t="s">
        <v>143</v>
      </c>
      <c r="B21" s="124"/>
      <c r="C21" s="124"/>
      <c r="D21" s="124"/>
      <c r="E21" s="124"/>
      <c r="F21" s="124"/>
      <c r="G21" s="1121" t="s">
        <v>117</v>
      </c>
      <c r="H21" s="1122"/>
      <c r="I21" s="1122"/>
      <c r="J21" s="1122"/>
      <c r="K21" s="1122"/>
      <c r="L21" s="1122"/>
      <c r="M21" s="1122"/>
      <c r="N21" s="1122"/>
      <c r="O21" s="1123"/>
      <c r="P21" s="124"/>
      <c r="Q21" s="124"/>
      <c r="R21" s="214"/>
      <c r="S21" s="225"/>
      <c r="T21" s="124"/>
      <c r="U21" s="487"/>
      <c r="V21" s="897" t="s">
        <v>220</v>
      </c>
      <c r="W21" s="897"/>
      <c r="X21" s="897"/>
      <c r="Y21" s="897"/>
      <c r="Z21" s="898"/>
      <c r="AA21" s="899" t="s">
        <v>187</v>
      </c>
      <c r="AB21" s="900"/>
      <c r="AC21" s="1143"/>
      <c r="AD21" s="1143"/>
      <c r="AE21" s="916" t="s">
        <v>207</v>
      </c>
      <c r="AF21" s="917"/>
      <c r="AG21" s="1174" t="s">
        <v>155</v>
      </c>
      <c r="AH21" s="1174"/>
      <c r="AI21" s="1174"/>
      <c r="AJ21" s="1174"/>
      <c r="AK21" s="1174"/>
      <c r="AL21" s="1174"/>
      <c r="AM21" s="371"/>
      <c r="AN21" s="371"/>
      <c r="AO21" s="371"/>
      <c r="AP21" s="520" t="s">
        <v>19</v>
      </c>
      <c r="AQ21" s="293">
        <v>10</v>
      </c>
      <c r="AR21" s="115"/>
      <c r="AS21" s="115"/>
      <c r="AT21" s="115"/>
      <c r="AU21" s="115"/>
      <c r="AV21" s="115"/>
      <c r="AW21" s="124"/>
      <c r="AX21" s="528"/>
      <c r="AY21" s="122"/>
      <c r="AZ21" s="605"/>
      <c r="BA21" s="539"/>
      <c r="BB21" s="919" t="e">
        <f>BA20-BF20</f>
        <v>#VALUE!</v>
      </c>
      <c r="BC21" s="919"/>
      <c r="BD21" s="919"/>
      <c r="BE21" s="919"/>
      <c r="BF21" s="919"/>
      <c r="BG21" s="542"/>
      <c r="BH21" s="542"/>
      <c r="BI21" s="542"/>
      <c r="BJ21" s="543"/>
      <c r="BK21" s="542"/>
      <c r="BL21" s="607"/>
      <c r="BM21" s="122"/>
      <c r="BN21" s="122"/>
      <c r="BO21" s="243" t="s">
        <v>158</v>
      </c>
      <c r="BP21" s="210"/>
      <c r="BQ21" s="210"/>
      <c r="BR21" s="244"/>
      <c r="BS21" s="122"/>
      <c r="BT21" s="122"/>
      <c r="BU21" s="549"/>
      <c r="BV21" s="549"/>
      <c r="BW21" s="549"/>
      <c r="BX21" s="549"/>
      <c r="BY21" s="552"/>
      <c r="BZ21" s="552"/>
      <c r="CA21" s="552"/>
      <c r="CB21" s="552"/>
      <c r="CC21" s="552"/>
      <c r="CD21" s="549"/>
      <c r="CE21" s="122"/>
      <c r="CF21" s="122"/>
      <c r="CG21" s="122"/>
      <c r="CH21" s="122"/>
      <c r="CI21" s="122"/>
      <c r="CJ21" s="122"/>
      <c r="CK21" s="122"/>
      <c r="CL21" s="122"/>
      <c r="CM21" s="122"/>
      <c r="CN21" s="290"/>
      <c r="CO21" s="290"/>
      <c r="CP21" s="290"/>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45"/>
      <c r="DM21" s="145"/>
      <c r="DN21" s="145"/>
      <c r="DO21" s="145"/>
      <c r="DP21" s="145"/>
      <c r="DQ21" s="145"/>
      <c r="DR21" s="145"/>
      <c r="DS21" s="14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row>
    <row r="22" spans="1:150" s="146" customFormat="1" ht="13.5" customHeight="1">
      <c r="A22" s="500"/>
      <c r="B22" s="209"/>
      <c r="C22" s="209"/>
      <c r="D22" s="209"/>
      <c r="E22" s="209"/>
      <c r="F22" s="209"/>
      <c r="G22" s="224"/>
      <c r="H22" s="373" t="s">
        <v>144</v>
      </c>
      <c r="I22" s="997" t="str">
        <f>IF(OR(A10=0,G21=""),"",BY15)</f>
        <v/>
      </c>
      <c r="J22" s="997"/>
      <c r="K22" s="224" t="s">
        <v>221</v>
      </c>
      <c r="L22" s="224"/>
      <c r="M22" s="209"/>
      <c r="N22" s="526"/>
      <c r="O22" s="224"/>
      <c r="P22" s="209"/>
      <c r="Q22" s="209"/>
      <c r="R22" s="209"/>
      <c r="S22" s="501"/>
      <c r="T22" s="124"/>
      <c r="U22" s="223"/>
      <c r="V22" s="1145" t="s">
        <v>117</v>
      </c>
      <c r="W22" s="1146"/>
      <c r="X22" s="1146"/>
      <c r="Y22" s="1146"/>
      <c r="Z22" s="1146"/>
      <c r="AA22" s="1147"/>
      <c r="AB22" s="1147"/>
      <c r="AC22" s="1147"/>
      <c r="AD22" s="1148"/>
      <c r="AI22" s="971" t="s">
        <v>13</v>
      </c>
      <c r="AJ22" s="821"/>
      <c r="AK22" s="972"/>
      <c r="AL22" s="971" t="s">
        <v>12</v>
      </c>
      <c r="AM22" s="821"/>
      <c r="AN22" s="972"/>
      <c r="AO22" s="1140" t="str">
        <f>IF(A13="","",A13)</f>
        <v/>
      </c>
      <c r="AP22" s="1141"/>
      <c r="AQ22" s="1142"/>
      <c r="AR22" s="115"/>
      <c r="AS22" s="115"/>
      <c r="AT22" s="115"/>
      <c r="AU22" s="115"/>
      <c r="AV22" s="115"/>
      <c r="AW22" s="124"/>
      <c r="AX22" s="528"/>
      <c r="AY22" s="122"/>
      <c r="AZ22" s="605"/>
      <c r="BA22" s="539"/>
      <c r="BB22" s="542"/>
      <c r="BC22" s="998">
        <f>BE14</f>
        <v>10</v>
      </c>
      <c r="BD22" s="998"/>
      <c r="BE22" s="998"/>
      <c r="BF22" s="908">
        <f>BH14</f>
        <v>60</v>
      </c>
      <c r="BG22" s="908"/>
      <c r="BH22" s="908"/>
      <c r="BI22" s="542"/>
      <c r="BJ22" s="543"/>
      <c r="BK22" s="542"/>
      <c r="BL22" s="607"/>
      <c r="BM22" s="122"/>
      <c r="BN22" s="122"/>
      <c r="BO22" s="245" t="s">
        <v>155</v>
      </c>
      <c r="BP22" s="210"/>
      <c r="BQ22" s="210"/>
      <c r="BR22" s="244"/>
      <c r="BS22" s="122"/>
      <c r="BT22" s="122"/>
      <c r="BU22" s="1003" t="str">
        <f>"Zur Verfügung stehendes PWH-Volumen in dem Nutzungszeitraum  von "&amp;D18&amp;" Minuten"</f>
        <v>Zur Verfügung stehendes PWH-Volumen in dem Nutzungszeitraum  von  Minuten</v>
      </c>
      <c r="BV22" s="1004"/>
      <c r="BW22" s="1004"/>
      <c r="BX22" s="1004"/>
      <c r="BY22" s="1004"/>
      <c r="BZ22" s="1004"/>
      <c r="CA22" s="1005"/>
      <c r="CB22" s="553" t="e">
        <f>P25+P27</f>
        <v>#VALUE!</v>
      </c>
      <c r="CC22" s="242" t="s">
        <v>94</v>
      </c>
      <c r="CD22" s="549"/>
      <c r="CE22" s="122"/>
      <c r="CF22" s="122"/>
      <c r="CG22" s="122"/>
      <c r="CH22" s="122"/>
      <c r="CI22" s="122"/>
      <c r="CJ22" s="122"/>
      <c r="CK22" s="122"/>
      <c r="CL22" s="122"/>
      <c r="CM22" s="122"/>
      <c r="CN22" s="290"/>
      <c r="CO22" s="290"/>
      <c r="CP22" s="290"/>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45"/>
      <c r="DM22" s="145"/>
      <c r="DN22" s="145"/>
      <c r="DO22" s="145"/>
      <c r="DP22" s="145"/>
      <c r="DQ22" s="145"/>
      <c r="DR22" s="145"/>
      <c r="DS22" s="145"/>
      <c r="DT22" s="145"/>
      <c r="DU22" s="145"/>
      <c r="DV22" s="145"/>
      <c r="DW22" s="145"/>
      <c r="DX22" s="145"/>
      <c r="DY22" s="145"/>
      <c r="DZ22" s="145"/>
      <c r="EA22" s="145"/>
      <c r="EB22" s="145"/>
      <c r="EC22" s="145"/>
      <c r="ED22" s="145"/>
      <c r="EE22" s="145"/>
      <c r="EF22" s="145"/>
      <c r="EG22" s="145"/>
      <c r="EH22" s="145"/>
      <c r="EI22" s="145"/>
      <c r="EJ22" s="145"/>
      <c r="EK22" s="145"/>
      <c r="EL22" s="145"/>
      <c r="EM22" s="145"/>
      <c r="EN22" s="145"/>
      <c r="EO22" s="145"/>
      <c r="EP22" s="145"/>
      <c r="EQ22" s="145"/>
      <c r="ER22" s="145"/>
      <c r="ES22" s="145"/>
      <c r="ET22" s="145"/>
    </row>
    <row r="23" spans="1:150" s="146" customFormat="1" ht="13.5" customHeight="1" thickBot="1">
      <c r="A23" s="202"/>
      <c r="B23" s="124"/>
      <c r="C23" s="124"/>
      <c r="D23" s="124"/>
      <c r="E23" s="124"/>
      <c r="F23" s="124"/>
      <c r="G23" s="124"/>
      <c r="H23" s="372" t="s">
        <v>222</v>
      </c>
      <c r="I23" s="1117"/>
      <c r="J23" s="1118"/>
      <c r="K23" s="512" t="str">
        <f>IF(I23&gt;I22,"kW, ohne Speicher","kW, PWH-Speicher erforderlich")</f>
        <v>kW, PWH-Speicher erforderlich</v>
      </c>
      <c r="L23" s="513"/>
      <c r="M23" s="124"/>
      <c r="N23" s="124"/>
      <c r="O23" s="124"/>
      <c r="P23" s="124"/>
      <c r="Q23" s="124"/>
      <c r="R23" s="124"/>
      <c r="S23" s="207"/>
      <c r="T23" s="124"/>
      <c r="U23" s="928" t="str">
        <f>IF(AQ21&gt;1,"jeweils","")</f>
        <v>jeweils</v>
      </c>
      <c r="V23" s="929"/>
      <c r="W23" s="929"/>
      <c r="Z23" s="595" t="s">
        <v>219</v>
      </c>
      <c r="AA23" s="952">
        <f>CQ15</f>
        <v>6</v>
      </c>
      <c r="AB23" s="952"/>
      <c r="AC23" s="952"/>
      <c r="AD23" s="953" t="s">
        <v>206</v>
      </c>
      <c r="AE23" s="954"/>
      <c r="AF23" s="954"/>
      <c r="AG23" s="954"/>
      <c r="AH23" s="955"/>
      <c r="AI23" s="486"/>
      <c r="AJ23" s="1130">
        <v>38</v>
      </c>
      <c r="AK23" s="1131"/>
      <c r="AL23" s="486"/>
      <c r="AM23" s="1126">
        <v>0</v>
      </c>
      <c r="AN23" s="1127"/>
      <c r="AO23" s="486"/>
      <c r="AP23" s="1126"/>
      <c r="AQ23" s="1182"/>
      <c r="AR23" s="115"/>
      <c r="AS23" s="115"/>
      <c r="AT23" s="115"/>
      <c r="AU23" s="115"/>
      <c r="AV23" s="115"/>
      <c r="AW23" s="124"/>
      <c r="AX23" s="528"/>
      <c r="AY23" s="122"/>
      <c r="AZ23" s="605"/>
      <c r="BA23" s="545"/>
      <c r="BB23" s="546"/>
      <c r="BC23" s="1011" t="e">
        <f>BB21/1.163/(BF22-BC22)*1000</f>
        <v>#VALUE!</v>
      </c>
      <c r="BD23" s="1011"/>
      <c r="BE23" s="1011"/>
      <c r="BF23" s="1011"/>
      <c r="BG23" s="546"/>
      <c r="BH23" s="546"/>
      <c r="BI23" s="546"/>
      <c r="BJ23" s="547"/>
      <c r="BK23" s="542"/>
      <c r="BL23" s="607"/>
      <c r="BM23" s="122"/>
      <c r="BN23" s="122"/>
      <c r="BO23" s="246" t="s">
        <v>156</v>
      </c>
      <c r="BP23" s="179"/>
      <c r="BQ23" s="179"/>
      <c r="BR23" s="247"/>
      <c r="BS23" s="122"/>
      <c r="BT23" s="122"/>
      <c r="BU23" s="1006"/>
      <c r="BV23" s="1007"/>
      <c r="BW23" s="1007"/>
      <c r="BX23" s="1007"/>
      <c r="BY23" s="1007"/>
      <c r="BZ23" s="1007"/>
      <c r="CA23" s="1008"/>
      <c r="CB23" s="554"/>
      <c r="CC23" s="555"/>
      <c r="CD23" s="549"/>
      <c r="CE23" s="122"/>
      <c r="CF23" s="122"/>
      <c r="CG23" s="122"/>
      <c r="CH23" s="122"/>
      <c r="CI23" s="122"/>
      <c r="CJ23" s="122"/>
      <c r="CK23" s="290"/>
      <c r="CL23" s="290"/>
      <c r="CM23" s="290"/>
      <c r="CN23" s="290"/>
      <c r="CO23" s="290"/>
      <c r="CP23" s="290"/>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45"/>
      <c r="DM23" s="145"/>
      <c r="DN23" s="145"/>
      <c r="DO23" s="145"/>
      <c r="DP23" s="145"/>
      <c r="DQ23" s="145"/>
      <c r="DR23" s="145"/>
      <c r="DS23" s="145"/>
      <c r="DT23" s="145"/>
      <c r="DU23" s="145"/>
      <c r="DV23" s="145"/>
      <c r="DW23" s="145"/>
      <c r="DX23" s="145"/>
      <c r="DY23" s="145"/>
      <c r="DZ23" s="145"/>
      <c r="EA23" s="145"/>
      <c r="EB23" s="145"/>
      <c r="EC23" s="145"/>
      <c r="ED23" s="145"/>
      <c r="EE23" s="145"/>
      <c r="EF23" s="145"/>
      <c r="EG23" s="145"/>
      <c r="EH23" s="145"/>
      <c r="EI23" s="145"/>
      <c r="EJ23" s="145"/>
      <c r="EK23" s="145"/>
      <c r="EL23" s="145"/>
      <c r="EM23" s="145"/>
      <c r="EN23" s="145"/>
      <c r="EO23" s="145"/>
      <c r="EP23" s="145"/>
      <c r="EQ23" s="145"/>
      <c r="ER23" s="145"/>
      <c r="ES23" s="145"/>
      <c r="ET23" s="145"/>
    </row>
    <row r="24" spans="1:150" s="146" customFormat="1" ht="13.5" customHeight="1" thickBot="1">
      <c r="A24" s="202"/>
      <c r="B24" s="124"/>
      <c r="C24" s="124"/>
      <c r="D24" s="221"/>
      <c r="E24" s="221"/>
      <c r="F24" s="221"/>
      <c r="G24" s="221"/>
      <c r="H24" s="221"/>
      <c r="I24" s="221"/>
      <c r="J24" s="221"/>
      <c r="K24" s="505" t="str">
        <f>"bei TW von "&amp;N16&amp;" °C auf "&amp;Q18&amp;" °C."</f>
        <v>bei TW von 10 °C auf 60 °C.</v>
      </c>
      <c r="L24" s="1002" t="str">
        <f>IF(I23="","",(I23*1000)/(AE1*(Q18-N16)*60))</f>
        <v/>
      </c>
      <c r="M24" s="1002"/>
      <c r="N24" s="220" t="s">
        <v>239</v>
      </c>
      <c r="O24" s="220"/>
      <c r="P24" s="221"/>
      <c r="Q24" s="221"/>
      <c r="R24" s="221"/>
      <c r="S24" s="515"/>
      <c r="T24" s="124"/>
      <c r="U24" s="202"/>
      <c r="Z24" s="595" t="s">
        <v>218</v>
      </c>
      <c r="AA24" s="488"/>
      <c r="AB24" s="948">
        <f>CP15</f>
        <v>0</v>
      </c>
      <c r="AC24" s="948"/>
      <c r="AD24" s="1188" t="str">
        <f>IF(V22=BO7,"gleichzeitig","")</f>
        <v/>
      </c>
      <c r="AE24" s="1189"/>
      <c r="AF24" s="1189"/>
      <c r="AG24" s="1189"/>
      <c r="AH24" s="1190"/>
      <c r="AI24" s="489"/>
      <c r="AJ24" s="1132"/>
      <c r="AK24" s="1133"/>
      <c r="AL24" s="489"/>
      <c r="AM24" s="1128"/>
      <c r="AN24" s="1129"/>
      <c r="AO24" s="489"/>
      <c r="AP24" s="1180"/>
      <c r="AQ24" s="1181"/>
      <c r="AR24" s="115"/>
      <c r="AS24" s="115"/>
      <c r="AT24" s="115"/>
      <c r="AU24" s="115"/>
      <c r="AV24" s="115"/>
      <c r="AW24" s="124"/>
      <c r="AX24" s="528"/>
      <c r="AY24" s="122"/>
      <c r="AZ24" s="605"/>
      <c r="BA24" s="542"/>
      <c r="BB24" s="542"/>
      <c r="BC24" s="542"/>
      <c r="BD24" s="542"/>
      <c r="BE24" s="542"/>
      <c r="BF24" s="542"/>
      <c r="BG24" s="542"/>
      <c r="BH24" s="542"/>
      <c r="BI24" s="542"/>
      <c r="BJ24" s="542"/>
      <c r="BK24" s="542"/>
      <c r="BL24" s="607"/>
      <c r="BM24" s="122"/>
      <c r="BN24" s="122"/>
      <c r="BO24" s="122"/>
      <c r="BP24" s="122"/>
      <c r="BQ24" s="122"/>
      <c r="BR24" s="122"/>
      <c r="BS24" s="122"/>
      <c r="BT24" s="122"/>
      <c r="BU24" s="556"/>
      <c r="BV24" s="557"/>
      <c r="BW24" s="557"/>
      <c r="BX24" s="557"/>
      <c r="BY24" s="557"/>
      <c r="BZ24" s="557"/>
      <c r="CA24" s="558" t="s">
        <v>139</v>
      </c>
      <c r="CB24" s="559" t="e">
        <f>ABS(I22-I23)</f>
        <v>#VALUE!</v>
      </c>
      <c r="CC24" s="560" t="s">
        <v>10</v>
      </c>
      <c r="CD24" s="549"/>
      <c r="CE24" s="122"/>
      <c r="CF24" s="122"/>
      <c r="CG24" s="122"/>
      <c r="CH24" s="122"/>
      <c r="CI24" s="122"/>
      <c r="CJ24" s="122"/>
      <c r="CK24" s="290"/>
      <c r="CL24" s="290"/>
      <c r="CM24" s="290"/>
      <c r="CN24" s="290"/>
      <c r="CO24" s="290"/>
      <c r="CP24" s="290"/>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45"/>
      <c r="DM24" s="145"/>
      <c r="DN24" s="145"/>
      <c r="DO24" s="145"/>
      <c r="DP24" s="145"/>
      <c r="DQ24" s="145"/>
      <c r="DR24" s="145"/>
      <c r="DS24" s="145"/>
      <c r="DT24" s="145"/>
      <c r="DU24" s="145"/>
      <c r="DV24" s="145"/>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row>
    <row r="25" spans="1:150" s="146" customFormat="1" ht="13.5" customHeight="1">
      <c r="A25" s="202"/>
      <c r="B25" s="517"/>
      <c r="C25" s="124"/>
      <c r="D25" s="124"/>
      <c r="E25" s="221"/>
      <c r="F25" s="124"/>
      <c r="G25" s="124"/>
      <c r="H25" s="124"/>
      <c r="I25" s="124"/>
      <c r="J25" s="124"/>
      <c r="K25" s="124"/>
      <c r="L25" s="124"/>
      <c r="M25" s="124"/>
      <c r="N25" s="124"/>
      <c r="O25" s="506" t="str">
        <f>"im erwarteten Nutzungszeitraum ( "&amp;D18&amp;" min)"</f>
        <v>im erwarteten Nutzungszeitraum (  min)</v>
      </c>
      <c r="P25" s="1019" t="str">
        <f>IF(A10=0,"",L24*D18)</f>
        <v/>
      </c>
      <c r="Q25" s="1020"/>
      <c r="R25" s="124" t="s">
        <v>236</v>
      </c>
      <c r="S25" s="207"/>
      <c r="T25" s="124"/>
      <c r="U25" s="206"/>
      <c r="V25" s="612"/>
      <c r="W25" s="224"/>
      <c r="X25" s="224"/>
      <c r="Y25" s="224"/>
      <c r="Z25" s="224"/>
      <c r="AA25" s="224"/>
      <c r="AB25" s="224"/>
      <c r="AC25" s="224"/>
      <c r="AD25" s="613" t="str">
        <f>IF(AA23=0,"",VLOOKUP(AK25,BU28:BY33,5,1))</f>
        <v>Gesamte Schüttleistung mit</v>
      </c>
      <c r="AE25" s="1187">
        <v>60</v>
      </c>
      <c r="AF25" s="1187"/>
      <c r="AG25" s="994" t="str">
        <f>IF(AC21="","",AA23*14.331/($AE$25-N16))</f>
        <v/>
      </c>
      <c r="AH25" s="994"/>
      <c r="AI25" s="994"/>
      <c r="AJ25" s="994"/>
      <c r="AK25" s="1144" t="s">
        <v>134</v>
      </c>
      <c r="AL25" s="1144"/>
      <c r="AM25" s="1144"/>
      <c r="AN25" s="1144"/>
      <c r="AO25" s="996"/>
      <c r="AP25" s="996"/>
      <c r="AQ25" s="525"/>
      <c r="AR25" s="115"/>
      <c r="AS25" s="115"/>
      <c r="AT25" s="115"/>
      <c r="AU25" s="115"/>
      <c r="AV25" s="115"/>
      <c r="AW25" s="124"/>
      <c r="AX25" s="528"/>
      <c r="AY25" s="122"/>
      <c r="AZ25" s="605"/>
      <c r="BA25" s="574" t="s">
        <v>233</v>
      </c>
      <c r="BB25" s="575"/>
      <c r="BC25" s="575"/>
      <c r="BD25" s="575"/>
      <c r="BE25" s="575"/>
      <c r="BF25" s="575"/>
      <c r="BG25" s="575"/>
      <c r="BH25" s="575"/>
      <c r="BI25" s="575"/>
      <c r="BJ25" s="576"/>
      <c r="BK25" s="542"/>
      <c r="BL25" s="607"/>
      <c r="BM25" s="122"/>
      <c r="BN25" s="122"/>
      <c r="BO25" s="1021" t="e">
        <f>IF(MAX(BH31:BJ32)&gt;200,ROUND(MAX(BH31:BJ32),0),200)</f>
        <v>#VALUE!</v>
      </c>
      <c r="BP25" s="1022"/>
      <c r="BQ25" s="122"/>
      <c r="BR25" s="122"/>
      <c r="BS25" s="122"/>
      <c r="BT25" s="122"/>
      <c r="BU25" s="561"/>
      <c r="BV25" s="142"/>
      <c r="BW25" s="142"/>
      <c r="BX25" s="142"/>
      <c r="BY25" s="142"/>
      <c r="BZ25" s="142"/>
      <c r="CA25" s="562" t="s">
        <v>140</v>
      </c>
      <c r="CB25" s="563">
        <f>B10*60</f>
        <v>240</v>
      </c>
      <c r="CC25" s="564" t="s">
        <v>141</v>
      </c>
      <c r="CD25" s="549"/>
      <c r="CE25" s="122"/>
      <c r="CF25" s="122"/>
      <c r="CG25" s="122"/>
      <c r="CH25" s="122"/>
      <c r="CI25" s="122"/>
      <c r="CJ25" s="122"/>
      <c r="CK25" s="290"/>
      <c r="CL25" s="290"/>
      <c r="CM25" s="290"/>
      <c r="CN25" s="290"/>
      <c r="CO25" s="290"/>
      <c r="CP25" s="290"/>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45"/>
      <c r="DM25" s="145"/>
      <c r="DN25" s="145"/>
      <c r="DO25" s="145"/>
      <c r="DP25" s="145"/>
      <c r="DQ25" s="145"/>
      <c r="DR25" s="145"/>
      <c r="DS25" s="145"/>
      <c r="DT25" s="145"/>
      <c r="DU25" s="145"/>
      <c r="DV25" s="145"/>
      <c r="DW25" s="145"/>
      <c r="DX25" s="145"/>
      <c r="DY25" s="145"/>
      <c r="DZ25" s="145"/>
      <c r="EA25" s="145"/>
      <c r="EB25" s="145"/>
      <c r="EC25" s="145"/>
      <c r="ED25" s="145"/>
      <c r="EE25" s="145"/>
      <c r="EF25" s="145"/>
      <c r="EG25" s="145"/>
      <c r="EH25" s="145"/>
      <c r="EI25" s="145"/>
      <c r="EJ25" s="145"/>
      <c r="EK25" s="145"/>
      <c r="EL25" s="145"/>
      <c r="EM25" s="145"/>
      <c r="EN25" s="145"/>
      <c r="EO25" s="145"/>
      <c r="EP25" s="145"/>
      <c r="EQ25" s="145"/>
      <c r="ER25" s="145"/>
      <c r="ES25" s="145"/>
      <c r="ET25" s="145"/>
    </row>
    <row r="26" spans="1:150" s="146" customFormat="1" ht="13.5" customHeight="1" thickBot="1">
      <c r="A26" s="202"/>
      <c r="B26" s="124"/>
      <c r="C26" s="124"/>
      <c r="D26" s="514"/>
      <c r="F26" s="514"/>
      <c r="G26" s="1029" t="s">
        <v>223</v>
      </c>
      <c r="H26" s="1029"/>
      <c r="I26" s="1029"/>
      <c r="J26" s="1029"/>
      <c r="K26" s="1029"/>
      <c r="L26" s="221"/>
      <c r="M26" s="221"/>
      <c r="N26" s="221"/>
      <c r="O26" s="222" t="s">
        <v>183</v>
      </c>
      <c r="P26" s="1031" t="str">
        <f>IF(A10=0,"",R18-P25)</f>
        <v/>
      </c>
      <c r="Q26" s="1032"/>
      <c r="R26" s="221" t="s">
        <v>236</v>
      </c>
      <c r="S26" s="515"/>
      <c r="T26" s="124"/>
      <c r="U26" s="211"/>
      <c r="V26" s="982" t="str">
        <f>IF(AD24="","",(AJ24+AM24)/AC21)</f>
        <v/>
      </c>
      <c r="W26" s="982"/>
      <c r="X26" s="523" t="str">
        <f>IF(AD24="","",IF(V26&gt;1,"Personenzahl überschritten","Gleichzeitigkeit der Personen"))</f>
        <v/>
      </c>
      <c r="Y26" s="212"/>
      <c r="Z26" s="212"/>
      <c r="AA26" s="212"/>
      <c r="AB26" s="212"/>
      <c r="AC26" s="212"/>
      <c r="AD26" s="212"/>
      <c r="AE26" s="212"/>
      <c r="AF26" s="212"/>
      <c r="AG26" s="212"/>
      <c r="AH26" s="212"/>
      <c r="AI26" s="212"/>
      <c r="AJ26" s="212"/>
      <c r="AK26" s="212"/>
      <c r="AL26" s="212"/>
      <c r="AM26" s="212"/>
      <c r="AN26" s="212"/>
      <c r="AO26" s="212"/>
      <c r="AP26" s="212"/>
      <c r="AQ26" s="524"/>
      <c r="AR26" s="115"/>
      <c r="AS26" s="115"/>
      <c r="AT26" s="115"/>
      <c r="AU26" s="115"/>
      <c r="AV26" s="115"/>
      <c r="AW26" s="124"/>
      <c r="AX26" s="528"/>
      <c r="AY26" s="122"/>
      <c r="AZ26" s="605"/>
      <c r="BA26" s="596" t="s">
        <v>243</v>
      </c>
      <c r="BB26" s="542"/>
      <c r="BC26" s="542"/>
      <c r="BD26" s="542"/>
      <c r="BE26" s="542"/>
      <c r="BF26" s="542"/>
      <c r="BG26" s="542"/>
      <c r="BH26" s="765" t="str">
        <f>I22</f>
        <v/>
      </c>
      <c r="BI26" s="765"/>
      <c r="BJ26" s="1033"/>
      <c r="BK26" s="542"/>
      <c r="BL26" s="607"/>
      <c r="BM26" s="122"/>
      <c r="BN26" s="122"/>
      <c r="BO26" s="1012" t="e">
        <f>IF(BO25=200,ROUND(BO25*1.163*(AD30-AH30),1)/1000,ROUND((MAX(BC31:BE32)),1))</f>
        <v>#VALUE!</v>
      </c>
      <c r="BP26" s="1013"/>
      <c r="BQ26" s="122"/>
      <c r="BR26" s="122"/>
      <c r="BS26" s="122"/>
      <c r="BT26" s="122"/>
      <c r="BU26" s="281"/>
      <c r="BV26" s="179"/>
      <c r="BW26" s="179"/>
      <c r="BX26" s="179"/>
      <c r="BY26" s="179"/>
      <c r="BZ26" s="179"/>
      <c r="CA26" s="548" t="s">
        <v>175</v>
      </c>
      <c r="CB26" s="565" t="e">
        <f>ROUNDUP(CB24/AE1/(Q18-N16)*1000/60*B10,0)</f>
        <v>#VALUE!</v>
      </c>
      <c r="CC26" s="566" t="s">
        <v>94</v>
      </c>
      <c r="CD26" s="549"/>
      <c r="CE26" s="122"/>
      <c r="CF26" s="122"/>
      <c r="CG26" s="122"/>
      <c r="CH26" s="122"/>
      <c r="CI26" s="122"/>
      <c r="CJ26" s="122"/>
      <c r="CK26" s="290"/>
      <c r="CL26" s="290"/>
      <c r="CM26" s="290"/>
      <c r="CN26" s="290"/>
      <c r="CO26" s="290"/>
      <c r="CP26" s="290"/>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row>
    <row r="27" spans="1:150" s="146" customFormat="1" ht="13.5" customHeight="1" thickBot="1">
      <c r="A27" s="202"/>
      <c r="B27" s="124"/>
      <c r="C27" s="124"/>
      <c r="D27" s="124"/>
      <c r="E27" s="124"/>
      <c r="F27" s="527"/>
      <c r="G27" s="1030"/>
      <c r="H27" s="1030"/>
      <c r="I27" s="1030"/>
      <c r="J27" s="1030"/>
      <c r="K27" s="1030"/>
      <c r="L27" s="221"/>
      <c r="M27" s="221"/>
      <c r="N27" s="221"/>
      <c r="O27" s="222" t="s">
        <v>154</v>
      </c>
      <c r="P27" s="1138"/>
      <c r="Q27" s="1139"/>
      <c r="R27" s="1016" t="s">
        <v>236</v>
      </c>
      <c r="S27" s="1017"/>
      <c r="T27" s="124"/>
      <c r="U27" s="592" t="str">
        <f>"Es werden "&amp;((AC15*AQ15+AC21*AQ21))&amp;" Personen versorgt"</f>
        <v>Es werden 0 Personen versorgt</v>
      </c>
      <c r="V27" s="518"/>
      <c r="W27" s="518"/>
      <c r="X27" s="518"/>
      <c r="Y27" s="518"/>
      <c r="Z27" s="518"/>
      <c r="AA27" s="518"/>
      <c r="AB27" s="518"/>
      <c r="AC27" s="518"/>
      <c r="AD27" s="518"/>
      <c r="AE27" s="518"/>
      <c r="AF27" s="518"/>
      <c r="AG27" s="1018">
        <f>ABS(U28-G6)</f>
        <v>0</v>
      </c>
      <c r="AH27" s="1018"/>
      <c r="AI27" s="518" t="str">
        <f>IF(U27&lt;G6,"Personen Überdeckung","Personen werden nicht versorgt")</f>
        <v>Personen werden nicht versorgt</v>
      </c>
      <c r="AJ27" s="518"/>
      <c r="AK27" s="518"/>
      <c r="AL27" s="518"/>
      <c r="AM27" s="518"/>
      <c r="AN27" s="518"/>
      <c r="AO27" s="518"/>
      <c r="AP27" s="518"/>
      <c r="AQ27" s="519"/>
      <c r="AR27" s="115"/>
      <c r="AS27" s="115"/>
      <c r="AT27" s="115"/>
      <c r="AU27" s="115"/>
      <c r="AV27" s="115"/>
      <c r="AW27" s="124"/>
      <c r="AX27" s="528"/>
      <c r="AY27" s="122"/>
      <c r="AZ27" s="605"/>
      <c r="BA27" s="581"/>
      <c r="BB27" s="356"/>
      <c r="BC27" s="356"/>
      <c r="BD27" s="356"/>
      <c r="BE27" s="356"/>
      <c r="BF27" s="356"/>
      <c r="BG27" s="356"/>
      <c r="BH27" s="506" t="s">
        <v>235</v>
      </c>
      <c r="BI27" s="356"/>
      <c r="BJ27" s="582"/>
      <c r="BK27" s="542"/>
      <c r="BL27" s="607"/>
      <c r="BM27" s="122"/>
      <c r="BN27" s="122"/>
      <c r="BO27" s="276"/>
      <c r="BP27" s="247"/>
      <c r="BQ27" s="122"/>
      <c r="BR27" s="122"/>
      <c r="BS27" s="122"/>
      <c r="BT27" s="122"/>
      <c r="BU27" s="122"/>
      <c r="BV27" s="122"/>
      <c r="BW27" s="122"/>
      <c r="BX27" s="122"/>
      <c r="BY27" s="290"/>
      <c r="BZ27" s="290"/>
      <c r="CA27" s="290"/>
      <c r="CB27" s="290"/>
      <c r="CC27" s="290"/>
      <c r="CD27" s="122"/>
      <c r="CE27" s="122"/>
      <c r="CF27" s="122"/>
      <c r="CG27" s="122"/>
      <c r="CH27" s="122"/>
      <c r="CI27" s="122"/>
      <c r="CJ27" s="122"/>
      <c r="CK27" s="290"/>
      <c r="CL27" s="290"/>
      <c r="CM27" s="290"/>
      <c r="CN27" s="290"/>
      <c r="CO27" s="290"/>
      <c r="CP27" s="290"/>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45"/>
      <c r="DM27" s="145"/>
      <c r="DN27" s="145"/>
      <c r="DO27" s="145"/>
      <c r="DP27" s="145"/>
      <c r="DQ27" s="145"/>
      <c r="DR27" s="145"/>
      <c r="DS27" s="145"/>
      <c r="DT27" s="145"/>
      <c r="DU27" s="145"/>
      <c r="DV27" s="145"/>
      <c r="DW27" s="145"/>
      <c r="DX27" s="145"/>
      <c r="DY27" s="145"/>
      <c r="DZ27" s="145"/>
      <c r="EA27" s="145"/>
      <c r="EB27" s="145"/>
      <c r="EC27" s="145"/>
      <c r="ED27" s="145"/>
      <c r="EE27" s="145"/>
      <c r="EF27" s="145"/>
      <c r="EG27" s="145"/>
      <c r="EH27" s="145"/>
      <c r="EI27" s="145"/>
      <c r="EJ27" s="145"/>
      <c r="EK27" s="145"/>
      <c r="EL27" s="145"/>
      <c r="EM27" s="145"/>
      <c r="EN27" s="145"/>
      <c r="EO27" s="145"/>
      <c r="EP27" s="145"/>
      <c r="EQ27" s="145"/>
      <c r="ER27" s="145"/>
      <c r="ES27" s="145"/>
      <c r="ET27" s="145"/>
    </row>
    <row r="28" spans="1:150" s="146" customFormat="1" ht="13.5" customHeight="1" thickBot="1">
      <c r="A28" s="202"/>
      <c r="B28" s="124"/>
      <c r="C28" s="124"/>
      <c r="D28" s="124"/>
      <c r="E28" s="124"/>
      <c r="F28" s="221"/>
      <c r="G28" s="221"/>
      <c r="H28" s="221"/>
      <c r="I28" s="221"/>
      <c r="J28" s="221"/>
      <c r="K28" s="221"/>
      <c r="L28" s="222" t="str">
        <f>IF(I23="","",IF(I23&gt;I22,"Leistungsüberdeckung",IF(I23&lt;I22,"Leistungsunterdeckung","")))</f>
        <v/>
      </c>
      <c r="M28" s="221"/>
      <c r="N28" s="221"/>
      <c r="O28" s="639" t="str">
        <f>IF(I23="","",(ABS(I22-I23))&amp;" kW)")</f>
        <v/>
      </c>
      <c r="P28" s="1023" t="str">
        <f>IF(I23="","",(ABS(I22-I23))/1.163/(Q18-N16)*1000/60)</f>
        <v/>
      </c>
      <c r="Q28" s="1023"/>
      <c r="R28" s="221" t="s">
        <v>239</v>
      </c>
      <c r="S28" s="515"/>
      <c r="T28" s="124"/>
      <c r="U28" s="593">
        <f>(AC15*AQ15+AC21*AQ21)</f>
        <v>0</v>
      </c>
      <c r="AQ28" s="227"/>
      <c r="AR28" s="115"/>
      <c r="AS28" s="115"/>
      <c r="AT28" s="115"/>
      <c r="AU28" s="115"/>
      <c r="AV28" s="115"/>
      <c r="AW28" s="124"/>
      <c r="AX28" s="528"/>
      <c r="AY28" s="122"/>
      <c r="AZ28" s="605"/>
      <c r="BA28" s="581"/>
      <c r="BB28" s="577" t="s">
        <v>127</v>
      </c>
      <c r="BC28" s="1134">
        <f>AM9</f>
        <v>0</v>
      </c>
      <c r="BD28" s="1134"/>
      <c r="BE28" s="578" t="s">
        <v>124</v>
      </c>
      <c r="BF28" s="1134">
        <f>AP9</f>
        <v>0</v>
      </c>
      <c r="BG28" s="1134"/>
      <c r="BH28" s="215"/>
      <c r="BI28" s="215"/>
      <c r="BJ28" s="597"/>
      <c r="BK28" s="542"/>
      <c r="BL28" s="607"/>
      <c r="BM28" s="290"/>
      <c r="BN28" s="122"/>
      <c r="BO28" s="122"/>
      <c r="BP28" s="122"/>
      <c r="BQ28" s="122"/>
      <c r="BR28" s="122"/>
      <c r="BS28" s="122"/>
      <c r="BT28" s="122"/>
      <c r="BU28" s="248" t="s">
        <v>116</v>
      </c>
      <c r="BV28" s="249"/>
      <c r="BW28" s="126"/>
      <c r="BX28" s="250">
        <v>1</v>
      </c>
      <c r="BY28" s="122" t="s">
        <v>246</v>
      </c>
      <c r="BZ28" s="290"/>
      <c r="CA28" s="290"/>
      <c r="CB28" s="290"/>
      <c r="CC28" s="290"/>
      <c r="CD28" s="122"/>
      <c r="CE28" s="122"/>
      <c r="CF28" s="122"/>
      <c r="CG28" s="122"/>
      <c r="CH28" s="122"/>
      <c r="CI28" s="122"/>
      <c r="CJ28" s="122"/>
      <c r="CK28" s="290"/>
      <c r="CL28" s="290"/>
      <c r="CM28" s="290"/>
      <c r="CN28" s="290"/>
      <c r="CO28" s="290"/>
      <c r="CP28" s="290"/>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45"/>
      <c r="DM28" s="145"/>
      <c r="DN28" s="145"/>
      <c r="DO28" s="145"/>
      <c r="DP28" s="145"/>
      <c r="DQ28" s="145"/>
      <c r="DR28" s="145"/>
      <c r="DS28" s="145"/>
      <c r="DT28" s="145"/>
      <c r="DU28" s="145"/>
      <c r="DV28" s="145"/>
      <c r="DW28" s="145"/>
      <c r="DX28" s="145"/>
      <c r="DY28" s="145"/>
      <c r="DZ28" s="145"/>
      <c r="EA28" s="145"/>
      <c r="EB28" s="145"/>
      <c r="EC28" s="145"/>
      <c r="ED28" s="145"/>
      <c r="EE28" s="145"/>
      <c r="EF28" s="145"/>
      <c r="EG28" s="145"/>
      <c r="EH28" s="145"/>
      <c r="EI28" s="145"/>
      <c r="EJ28" s="145"/>
      <c r="EK28" s="145"/>
      <c r="EL28" s="145"/>
      <c r="EM28" s="145"/>
      <c r="EN28" s="145"/>
      <c r="EO28" s="145"/>
      <c r="EP28" s="145"/>
      <c r="EQ28" s="145"/>
      <c r="ER28" s="145"/>
      <c r="ES28" s="145"/>
      <c r="ET28" s="145"/>
    </row>
    <row r="29" spans="1:150" s="146" customFormat="1" ht="13.5" customHeight="1" thickBot="1">
      <c r="A29" s="202"/>
      <c r="B29" s="124"/>
      <c r="C29" s="115"/>
      <c r="D29" s="115"/>
      <c r="E29" s="115"/>
      <c r="F29" s="640"/>
      <c r="G29" s="640"/>
      <c r="H29" s="640"/>
      <c r="I29" s="640"/>
      <c r="J29" s="640"/>
      <c r="K29" s="640"/>
      <c r="L29" s="640"/>
      <c r="M29" s="640"/>
      <c r="N29" s="640"/>
      <c r="O29" s="641" t="s">
        <v>224</v>
      </c>
      <c r="P29" s="1119" t="str">
        <f>IF(P28="","",P27/P28)</f>
        <v/>
      </c>
      <c r="Q29" s="1120"/>
      <c r="R29" s="642" t="s">
        <v>93</v>
      </c>
      <c r="S29" s="643"/>
      <c r="T29" s="124"/>
      <c r="U29" s="903" t="s">
        <v>163</v>
      </c>
      <c r="V29" s="904"/>
      <c r="W29" s="217" t="s">
        <v>137</v>
      </c>
      <c r="X29" s="218"/>
      <c r="Y29" s="218"/>
      <c r="Z29" s="218"/>
      <c r="AA29" s="218"/>
      <c r="AB29" s="218"/>
      <c r="AC29" s="218"/>
      <c r="AD29" s="218"/>
      <c r="AE29" s="218"/>
      <c r="AF29" s="218"/>
      <c r="AG29" s="218"/>
      <c r="AH29" s="218"/>
      <c r="AI29" s="218"/>
      <c r="AJ29" s="218"/>
      <c r="AK29" s="218"/>
      <c r="AL29" s="218"/>
      <c r="AM29" s="218"/>
      <c r="AN29" s="218"/>
      <c r="AO29" s="218"/>
      <c r="AP29" s="218"/>
      <c r="AQ29" s="219"/>
      <c r="AR29" s="115"/>
      <c r="AS29" s="115"/>
      <c r="AT29" s="115"/>
      <c r="AU29" s="115"/>
      <c r="AV29" s="115"/>
      <c r="AW29" s="124"/>
      <c r="AX29" s="528"/>
      <c r="AY29" s="122"/>
      <c r="AZ29" s="605"/>
      <c r="BA29" s="581"/>
      <c r="BB29" s="583"/>
      <c r="BC29" s="584"/>
      <c r="BD29" s="584"/>
      <c r="BE29" s="584"/>
      <c r="BF29" s="584"/>
      <c r="BG29" s="584"/>
      <c r="BH29" s="506" t="s">
        <v>234</v>
      </c>
      <c r="BI29" s="1027">
        <f>AH34</f>
        <v>5</v>
      </c>
      <c r="BJ29" s="1028"/>
      <c r="BK29" s="542"/>
      <c r="BL29" s="607"/>
      <c r="BM29" s="290"/>
      <c r="BN29" s="290"/>
      <c r="BO29" s="258"/>
      <c r="BP29" s="259"/>
      <c r="BQ29" s="122"/>
      <c r="BR29" s="122"/>
      <c r="BS29" s="122"/>
      <c r="BT29" s="122"/>
      <c r="BU29" s="245"/>
      <c r="BV29" s="260"/>
      <c r="BW29" s="120"/>
      <c r="BX29" s="261"/>
      <c r="BY29" s="122"/>
      <c r="BZ29" s="122"/>
      <c r="CA29" s="122"/>
      <c r="CB29" s="122"/>
      <c r="CC29" s="122"/>
      <c r="CD29" s="122"/>
      <c r="CE29" s="122"/>
      <c r="CF29" s="122"/>
      <c r="CG29" s="122"/>
      <c r="CH29" s="122"/>
      <c r="CI29" s="122"/>
      <c r="CJ29" s="122"/>
      <c r="CK29" s="290"/>
      <c r="CL29" s="290"/>
      <c r="CM29" s="290"/>
      <c r="CN29" s="290"/>
      <c r="CO29" s="290"/>
      <c r="CP29" s="290"/>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row>
    <row r="30" spans="1:150" s="146" customFormat="1" ht="13.5" customHeight="1" thickBot="1">
      <c r="A30" s="211"/>
      <c r="B30" s="212"/>
      <c r="C30" s="212"/>
      <c r="D30" s="1034" t="str">
        <f>IF(A10=0,"",IF(CB22&lt;R18,"Unterdeckung","Ausreichender Speicher, Überdeckung"))</f>
        <v/>
      </c>
      <c r="E30" s="1034"/>
      <c r="F30" s="1034"/>
      <c r="G30" s="1034"/>
      <c r="H30" s="1034"/>
      <c r="I30" s="1034"/>
      <c r="J30" s="1034"/>
      <c r="K30" s="1034"/>
      <c r="L30" s="1034"/>
      <c r="M30" s="1034"/>
      <c r="N30" s="1034"/>
      <c r="O30" s="1034"/>
      <c r="P30" s="1035" t="str">
        <f>IF(OR(A10=0,P29=""),"",ABS(R18-CB22))</f>
        <v/>
      </c>
      <c r="Q30" s="1036"/>
      <c r="R30" s="1037" t="s">
        <v>236</v>
      </c>
      <c r="S30" s="1038"/>
      <c r="T30" s="124"/>
      <c r="U30" s="202"/>
      <c r="V30" s="124" t="s">
        <v>225</v>
      </c>
      <c r="W30" s="124"/>
      <c r="X30" s="124"/>
      <c r="Y30" s="124"/>
      <c r="Z30" s="124"/>
      <c r="AA30" s="124"/>
      <c r="AB30" s="124"/>
      <c r="AC30" s="228" t="s">
        <v>133</v>
      </c>
      <c r="AD30" s="229">
        <f>AM9</f>
        <v>0</v>
      </c>
      <c r="AE30" s="230" t="s">
        <v>14</v>
      </c>
      <c r="AF30" s="124"/>
      <c r="AG30" s="594" t="s">
        <v>242</v>
      </c>
      <c r="AH30" s="231">
        <f>C10</f>
        <v>38</v>
      </c>
      <c r="AI30" s="230" t="s">
        <v>14</v>
      </c>
      <c r="AJ30" s="232"/>
      <c r="AK30" s="124"/>
      <c r="AL30" s="124"/>
      <c r="AM30" s="124"/>
      <c r="AN30" s="124"/>
      <c r="AO30" s="232"/>
      <c r="AP30" s="232"/>
      <c r="AQ30" s="233"/>
      <c r="AR30" s="115"/>
      <c r="AS30" s="115"/>
      <c r="AT30" s="115"/>
      <c r="AU30" s="115"/>
      <c r="AV30" s="115"/>
      <c r="AW30" s="124"/>
      <c r="AX30" s="528"/>
      <c r="AY30" s="122"/>
      <c r="AZ30" s="605"/>
      <c r="BA30" s="581"/>
      <c r="BB30" s="581"/>
      <c r="BC30" s="220"/>
      <c r="BD30" s="220"/>
      <c r="BE30" s="220"/>
      <c r="BF30" s="220"/>
      <c r="BG30" s="220"/>
      <c r="BH30" s="1039" t="e">
        <f>V34/60*AH34</f>
        <v>#VALUE!</v>
      </c>
      <c r="BI30" s="1039"/>
      <c r="BJ30" s="1040"/>
      <c r="BK30" s="544"/>
      <c r="BL30" s="608"/>
      <c r="BM30" s="290"/>
      <c r="BN30" s="290"/>
      <c r="BO30" s="1041" t="e">
        <f>AA17*AQ15</f>
        <v>#VALUE!</v>
      </c>
      <c r="BP30" s="1042"/>
      <c r="BQ30" s="122"/>
      <c r="BR30" s="122"/>
      <c r="BS30" s="122"/>
      <c r="BT30" s="122"/>
      <c r="BU30" s="245" t="s">
        <v>134</v>
      </c>
      <c r="BV30" s="260"/>
      <c r="BW30" s="120"/>
      <c r="BX30" s="261">
        <v>2</v>
      </c>
      <c r="BY30" s="122" t="s">
        <v>247</v>
      </c>
      <c r="BZ30" s="122"/>
      <c r="CA30" s="122"/>
      <c r="CB30" s="122"/>
      <c r="CC30" s="122"/>
      <c r="CD30" s="122"/>
      <c r="CE30" s="122"/>
      <c r="CF30" s="122"/>
      <c r="CG30" s="122"/>
      <c r="CH30" s="122"/>
      <c r="CI30" s="122"/>
      <c r="CJ30" s="122"/>
      <c r="CK30" s="290"/>
      <c r="CL30" s="290"/>
      <c r="CM30" s="290"/>
      <c r="CN30" s="290"/>
      <c r="CO30" s="290"/>
      <c r="CP30" s="290"/>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row>
    <row r="31" spans="1:150" s="146" customFormat="1" ht="13.5" customHeight="1" thickBot="1">
      <c r="A31" s="567"/>
      <c r="T31" s="115"/>
      <c r="U31" s="202"/>
      <c r="V31" s="124"/>
      <c r="W31" s="124"/>
      <c r="X31" s="124"/>
      <c r="Y31" s="124"/>
      <c r="Z31" s="124"/>
      <c r="AA31" s="124"/>
      <c r="AB31" s="124"/>
      <c r="AC31" s="124"/>
      <c r="AD31" s="124"/>
      <c r="AE31" s="124"/>
      <c r="AF31" s="124"/>
      <c r="AG31" s="124"/>
      <c r="AH31" s="124"/>
      <c r="AI31" s="124"/>
      <c r="AJ31" s="124"/>
      <c r="AK31" s="124"/>
      <c r="AL31" s="228" t="str">
        <f>"erforderliche Wärmearbeit im Nutzungszeitraum von "&amp;D18&amp;" Minuten"</f>
        <v>erforderliche Wärmearbeit im Nutzungszeitraum von  Minuten</v>
      </c>
      <c r="AM31" s="1043" t="str">
        <f>IF(A10=0,"",R18/1000*1.163*(Q18-N16))</f>
        <v/>
      </c>
      <c r="AN31" s="1043"/>
      <c r="AO31" s="124" t="s">
        <v>57</v>
      </c>
      <c r="AP31" s="124"/>
      <c r="AQ31" s="207"/>
      <c r="AR31" s="298"/>
      <c r="AS31" s="115"/>
      <c r="AT31" s="115"/>
      <c r="AU31" s="115"/>
      <c r="AV31" s="115"/>
      <c r="AW31" s="124"/>
      <c r="AX31" s="528"/>
      <c r="AY31" s="122"/>
      <c r="AZ31" s="605"/>
      <c r="BA31" s="539"/>
      <c r="BB31" s="585"/>
      <c r="BC31" s="1044" t="e">
        <f>BH31*1.163*(AD30-AH30)/1000</f>
        <v>#VALUE!</v>
      </c>
      <c r="BD31" s="1044"/>
      <c r="BE31" s="1044"/>
      <c r="BF31" s="208"/>
      <c r="BG31" s="208"/>
      <c r="BH31" s="1045" t="e">
        <f>BH30*1000</f>
        <v>#VALUE!</v>
      </c>
      <c r="BI31" s="1045"/>
      <c r="BJ31" s="1046"/>
      <c r="BK31" s="544"/>
      <c r="BL31" s="608"/>
      <c r="BM31" s="122"/>
      <c r="BN31" s="122"/>
      <c r="BO31" s="1041">
        <f>AA23*AQ21</f>
        <v>60</v>
      </c>
      <c r="BP31" s="1042"/>
      <c r="BQ31" s="122"/>
      <c r="BR31" s="122"/>
      <c r="BS31" s="122"/>
      <c r="BT31" s="122"/>
      <c r="BU31" s="245" t="s">
        <v>135</v>
      </c>
      <c r="BV31" s="260"/>
      <c r="BW31" s="120"/>
      <c r="BX31" s="261">
        <v>3</v>
      </c>
      <c r="BY31" s="122" t="s">
        <v>247</v>
      </c>
      <c r="BZ31" s="122"/>
      <c r="CA31" s="122"/>
      <c r="CB31" s="122"/>
      <c r="CC31" s="122"/>
      <c r="CD31" s="122"/>
      <c r="CE31" s="122"/>
      <c r="CF31" s="122"/>
      <c r="CG31" s="290"/>
      <c r="CH31" s="290"/>
      <c r="CI31" s="290"/>
      <c r="CJ31" s="290"/>
      <c r="CK31" s="290"/>
      <c r="CL31" s="290"/>
      <c r="CM31" s="290"/>
      <c r="CN31" s="290"/>
      <c r="CO31" s="290"/>
      <c r="CP31" s="290"/>
      <c r="CQ31" s="122"/>
      <c r="CR31" s="122"/>
      <c r="CS31" s="122"/>
      <c r="CT31" s="122"/>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row>
    <row r="32" spans="1:150" s="146" customFormat="1" ht="13.5" customHeight="1">
      <c r="A32" s="299" t="s">
        <v>179</v>
      </c>
      <c r="B32" s="294"/>
      <c r="C32" s="294"/>
      <c r="D32" s="294"/>
      <c r="E32" s="294"/>
      <c r="F32" s="294"/>
      <c r="G32" s="294"/>
      <c r="H32" s="294"/>
      <c r="I32" s="294"/>
      <c r="J32" s="294"/>
      <c r="K32" s="294"/>
      <c r="L32" s="294"/>
      <c r="M32" s="294"/>
      <c r="N32" s="294"/>
      <c r="O32" s="294"/>
      <c r="P32" s="294"/>
      <c r="Q32" s="294"/>
      <c r="R32" s="294"/>
      <c r="S32" s="325"/>
      <c r="T32" s="295"/>
      <c r="U32" s="202"/>
      <c r="V32" s="124"/>
      <c r="W32" s="124"/>
      <c r="X32" s="124"/>
      <c r="Y32" s="124"/>
      <c r="Z32" s="124"/>
      <c r="AA32" s="124"/>
      <c r="AB32" s="124"/>
      <c r="AC32" s="124"/>
      <c r="AD32" s="124"/>
      <c r="AE32" s="124"/>
      <c r="AF32" s="124"/>
      <c r="AG32" s="124"/>
      <c r="AH32" s="124"/>
      <c r="AI32" s="124"/>
      <c r="AJ32" s="124"/>
      <c r="AK32" s="124"/>
      <c r="AL32" s="228" t="str">
        <f>"Nachladekapazität aus der möglichen Leistung von  "&amp;AD11&amp;" kW = "</f>
        <v xml:space="preserve">Nachladekapazität aus der möglichen Leistung von   kW = </v>
      </c>
      <c r="AM32" s="1047" t="str">
        <f>IF(A10=0,"",AD11/60*D18)</f>
        <v/>
      </c>
      <c r="AN32" s="1047"/>
      <c r="AO32" s="234" t="s">
        <v>57</v>
      </c>
      <c r="AP32" s="234"/>
      <c r="AQ32" s="235"/>
      <c r="AR32" s="298"/>
      <c r="AS32" s="115"/>
      <c r="AT32" s="115"/>
      <c r="AU32" s="115"/>
      <c r="AV32" s="115"/>
      <c r="AW32" s="124"/>
      <c r="AX32" s="528"/>
      <c r="AY32" s="122"/>
      <c r="AZ32" s="605"/>
      <c r="BA32" s="545"/>
      <c r="BB32" s="579"/>
      <c r="BC32" s="1048" t="str">
        <f>IF(A10=0,"",AM31-AM32)</f>
        <v/>
      </c>
      <c r="BD32" s="1048"/>
      <c r="BE32" s="1048"/>
      <c r="BF32" s="580"/>
      <c r="BG32" s="580"/>
      <c r="BH32" s="1049" t="str">
        <f>IF(A10=0,"",BC32/1.163/(AD30-AH30)*1000)</f>
        <v/>
      </c>
      <c r="BI32" s="1049"/>
      <c r="BJ32" s="1050"/>
      <c r="BK32" s="544"/>
      <c r="BL32" s="608"/>
      <c r="BM32" s="122"/>
      <c r="BN32" s="122"/>
      <c r="BO32" s="1041" t="str">
        <f>I22</f>
        <v/>
      </c>
      <c r="BP32" s="1042"/>
      <c r="BQ32" s="122"/>
      <c r="BR32" s="122"/>
      <c r="BS32" s="122"/>
      <c r="BT32" s="122"/>
      <c r="BU32" s="245" t="s">
        <v>136</v>
      </c>
      <c r="BV32" s="260"/>
      <c r="BW32" s="120"/>
      <c r="BX32" s="261">
        <v>4</v>
      </c>
      <c r="BY32" s="122" t="s">
        <v>247</v>
      </c>
      <c r="BZ32" s="122"/>
      <c r="CA32" s="122"/>
      <c r="CB32" s="122"/>
      <c r="CC32" s="122"/>
      <c r="CD32" s="122"/>
      <c r="CE32" s="122"/>
      <c r="CF32" s="122"/>
      <c r="CG32" s="290"/>
      <c r="CH32" s="290"/>
      <c r="CI32" s="290"/>
      <c r="CJ32" s="290"/>
      <c r="CK32" s="290"/>
      <c r="CL32" s="290"/>
      <c r="CM32" s="290"/>
      <c r="CN32" s="290"/>
      <c r="CO32" s="290"/>
      <c r="CP32" s="290"/>
      <c r="CQ32" s="122"/>
      <c r="CR32" s="122"/>
      <c r="CS32" s="122"/>
      <c r="CT32" s="122"/>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row>
    <row r="33" spans="1:150" s="146" customFormat="1" ht="13.5" customHeight="1" thickBot="1">
      <c r="A33" s="1149"/>
      <c r="B33" s="1150"/>
      <c r="C33" s="1150"/>
      <c r="D33" s="1150"/>
      <c r="E33" s="1150"/>
      <c r="F33" s="1150"/>
      <c r="G33" s="1150"/>
      <c r="H33" s="1150"/>
      <c r="I33" s="1150"/>
      <c r="J33" s="1150"/>
      <c r="K33" s="1150"/>
      <c r="L33" s="1150"/>
      <c r="M33" s="1150"/>
      <c r="N33" s="1150"/>
      <c r="O33" s="1150"/>
      <c r="P33" s="1150"/>
      <c r="Q33" s="1150"/>
      <c r="R33" s="1150"/>
      <c r="S33" s="1151"/>
      <c r="T33" s="295"/>
      <c r="U33" s="202"/>
      <c r="AG33" s="595" t="str">
        <f>IF(AC15+AC21=0,"","WT-Heizwasserdurchsatz bei Vollast (")</f>
        <v/>
      </c>
      <c r="AH33" s="1206"/>
      <c r="AI33" s="1206"/>
      <c r="AJ33" s="1206"/>
      <c r="AK33" s="1058" t="str">
        <f>IF(AC15+AC21=0,"",AH33/1.163/(AM9-AP9))</f>
        <v/>
      </c>
      <c r="AL33" s="1058"/>
      <c r="AM33" s="1058"/>
      <c r="AN33" s="1058"/>
      <c r="AR33" s="298"/>
      <c r="AS33" s="115"/>
      <c r="AT33" s="115"/>
      <c r="AU33" s="115"/>
      <c r="AV33" s="115"/>
      <c r="AW33" s="124"/>
      <c r="AX33" s="528"/>
      <c r="AY33" s="122"/>
      <c r="AZ33" s="605"/>
      <c r="BA33" s="1059" t="str">
        <f>AA17</f>
        <v/>
      </c>
      <c r="BB33" s="1060"/>
      <c r="BC33" s="1061"/>
      <c r="BD33" s="124"/>
      <c r="BE33" s="124"/>
      <c r="BF33" s="124"/>
      <c r="BG33" s="124"/>
      <c r="BH33" s="1062"/>
      <c r="BI33" s="1062"/>
      <c r="BJ33" s="1062"/>
      <c r="BK33" s="542"/>
      <c r="BL33" s="607"/>
      <c r="BM33" s="122"/>
      <c r="BN33" s="122"/>
      <c r="BO33" s="1041" t="str">
        <f>AD11</f>
        <v/>
      </c>
      <c r="BP33" s="1042"/>
      <c r="BQ33" s="122"/>
      <c r="BR33" s="122"/>
      <c r="BS33" s="122"/>
      <c r="BT33" s="122"/>
      <c r="BU33" s="281"/>
      <c r="BV33" s="282"/>
      <c r="BW33" s="132"/>
      <c r="BX33" s="283"/>
      <c r="BY33" s="122"/>
      <c r="BZ33" s="122"/>
      <c r="CA33" s="122"/>
      <c r="CB33" s="122"/>
      <c r="CC33" s="122"/>
      <c r="CD33" s="122"/>
      <c r="CE33" s="122"/>
      <c r="CF33" s="122"/>
      <c r="CG33" s="290"/>
      <c r="CH33" s="290"/>
      <c r="CI33" s="290"/>
      <c r="CJ33" s="290"/>
      <c r="CK33" s="290"/>
      <c r="CL33" s="290"/>
      <c r="CM33" s="290"/>
      <c r="CN33" s="290"/>
      <c r="CO33" s="290"/>
      <c r="CP33" s="290"/>
      <c r="CQ33" s="122"/>
      <c r="CR33" s="122"/>
      <c r="CS33" s="122"/>
      <c r="CT33" s="122"/>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row>
    <row r="34" spans="1:150" s="146" customFormat="1" ht="13.5" customHeight="1">
      <c r="A34" s="1149"/>
      <c r="B34" s="1150"/>
      <c r="C34" s="1150"/>
      <c r="D34" s="1150"/>
      <c r="E34" s="1150"/>
      <c r="F34" s="1150"/>
      <c r="G34" s="1150"/>
      <c r="H34" s="1150"/>
      <c r="I34" s="1150"/>
      <c r="J34" s="1150"/>
      <c r="K34" s="1150"/>
      <c r="L34" s="1150"/>
      <c r="M34" s="1150"/>
      <c r="N34" s="1150"/>
      <c r="O34" s="1150"/>
      <c r="P34" s="1150"/>
      <c r="Q34" s="1150"/>
      <c r="R34" s="1150"/>
      <c r="S34" s="1151"/>
      <c r="T34" s="295"/>
      <c r="U34" s="202"/>
      <c r="V34" s="1063" t="str">
        <f>IF(AC15+AC21=0,"",ABS(AK33-AD10))</f>
        <v/>
      </c>
      <c r="W34" s="1063"/>
      <c r="X34" s="1063"/>
      <c r="Y34" s="1063"/>
      <c r="Z34" s="1063"/>
      <c r="AA34" s="1063"/>
      <c r="AB34" s="1063"/>
      <c r="AC34" s="1063"/>
      <c r="AD34" s="1063"/>
      <c r="AE34" s="1063"/>
      <c r="AF34" s="1063"/>
      <c r="AG34" s="1063"/>
      <c r="AH34" s="1205">
        <v>5</v>
      </c>
      <c r="AI34" s="1205"/>
      <c r="AJ34" s="1205"/>
      <c r="AM34" s="654"/>
      <c r="AR34" s="298"/>
      <c r="AS34" s="115"/>
      <c r="AT34" s="115"/>
      <c r="AU34" s="115"/>
      <c r="AV34" s="115"/>
      <c r="AW34" s="124"/>
      <c r="AX34" s="528"/>
      <c r="AY34" s="122"/>
      <c r="AZ34" s="605"/>
      <c r="BA34" s="1065" t="str">
        <f>IF(AQ15&gt;1,AA17*AQ15,"")</f>
        <v/>
      </c>
      <c r="BB34" s="1066"/>
      <c r="BC34" s="1067"/>
      <c r="BD34" s="124"/>
      <c r="BE34" s="124"/>
      <c r="BF34" s="124"/>
      <c r="BG34" s="124"/>
      <c r="BH34" s="124"/>
      <c r="BI34" s="124"/>
      <c r="BJ34" s="124"/>
      <c r="BK34" s="542"/>
      <c r="BL34" s="607"/>
      <c r="BM34" s="122"/>
      <c r="BN34" s="122"/>
      <c r="BO34" s="1041" t="e">
        <f>BO30+BO31</f>
        <v>#VALUE!</v>
      </c>
      <c r="BP34" s="1042"/>
      <c r="BQ34" s="122"/>
      <c r="BR34" s="122"/>
      <c r="BS34" s="122"/>
      <c r="BT34" s="122"/>
      <c r="BU34" s="122"/>
      <c r="BV34" s="122"/>
      <c r="BW34" s="122"/>
      <c r="BX34" s="122"/>
      <c r="BY34" s="122"/>
      <c r="BZ34" s="122"/>
      <c r="CA34" s="122"/>
      <c r="CB34" s="122"/>
      <c r="CC34" s="122"/>
      <c r="CD34" s="122"/>
      <c r="CE34" s="122"/>
      <c r="CF34" s="122"/>
      <c r="CG34" s="290"/>
      <c r="CH34" s="290"/>
      <c r="CI34" s="290"/>
      <c r="CJ34" s="290"/>
      <c r="CK34" s="290"/>
      <c r="CL34" s="290"/>
      <c r="CM34" s="290"/>
      <c r="CN34" s="290"/>
      <c r="CO34" s="290"/>
      <c r="CP34" s="290"/>
      <c r="CQ34" s="122"/>
      <c r="CR34" s="122"/>
      <c r="CS34" s="122"/>
      <c r="CT34" s="122"/>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row>
    <row r="35" spans="1:150" s="146" customFormat="1" ht="13.5" customHeight="1" thickBot="1">
      <c r="A35" s="1149"/>
      <c r="B35" s="1150"/>
      <c r="C35" s="1150"/>
      <c r="D35" s="1150"/>
      <c r="E35" s="1150"/>
      <c r="F35" s="1150"/>
      <c r="G35" s="1150"/>
      <c r="H35" s="1150"/>
      <c r="I35" s="1150"/>
      <c r="J35" s="1150"/>
      <c r="K35" s="1150"/>
      <c r="L35" s="1150"/>
      <c r="M35" s="1150"/>
      <c r="N35" s="1150"/>
      <c r="O35" s="1150"/>
      <c r="P35" s="1150"/>
      <c r="Q35" s="1150"/>
      <c r="R35" s="1150"/>
      <c r="S35" s="1151"/>
      <c r="T35" s="115"/>
      <c r="U35" s="1068" t="s">
        <v>184</v>
      </c>
      <c r="V35" s="1069"/>
      <c r="W35" s="1069"/>
      <c r="X35" s="1069"/>
      <c r="Y35" s="1069"/>
      <c r="Z35" s="226" t="e">
        <f>"erforderlich "&amp;BO25&amp;" L, entspricht Kapazität  "&amp;BO26&amp;" kWh"</f>
        <v>#VALUE!</v>
      </c>
      <c r="AA35" s="636"/>
      <c r="AB35" s="226"/>
      <c r="AC35" s="637"/>
      <c r="AD35" s="234"/>
      <c r="AE35" s="234"/>
      <c r="AF35" s="226"/>
      <c r="AG35" s="226"/>
      <c r="AH35" s="226"/>
      <c r="AI35" s="637"/>
      <c r="AJ35" s="234"/>
      <c r="AK35" s="234"/>
      <c r="AL35" s="226"/>
      <c r="AM35" s="598"/>
      <c r="AN35" s="600"/>
      <c r="AO35" s="224"/>
      <c r="AP35" s="224"/>
      <c r="AQ35" s="599"/>
      <c r="AR35" s="644"/>
      <c r="AS35" s="115"/>
      <c r="AT35" s="115"/>
      <c r="AU35" s="115"/>
      <c r="AV35" s="115"/>
      <c r="AW35" s="124"/>
      <c r="AX35" s="528"/>
      <c r="AY35" s="122"/>
      <c r="AZ35" s="605"/>
      <c r="BA35" s="1065" t="str">
        <f>IF(AQ16&gt;1,AA18*AQ16,"")</f>
        <v/>
      </c>
      <c r="BB35" s="1066"/>
      <c r="BC35" s="1067"/>
      <c r="BD35" s="542"/>
      <c r="BE35" s="542"/>
      <c r="BF35" s="542"/>
      <c r="BG35" s="542"/>
      <c r="BH35" s="765"/>
      <c r="BI35" s="765"/>
      <c r="BJ35" s="765"/>
      <c r="BK35" s="542"/>
      <c r="BL35" s="607"/>
      <c r="BM35" s="122"/>
      <c r="BN35" s="122"/>
      <c r="BO35" s="1072"/>
      <c r="BP35" s="1073"/>
      <c r="BQ35" s="122"/>
      <c r="BR35" s="122"/>
      <c r="BS35" s="122"/>
      <c r="BT35" s="122"/>
      <c r="BU35" s="122"/>
      <c r="BV35" s="122"/>
      <c r="BW35" s="122"/>
      <c r="BX35" s="122"/>
      <c r="BY35" s="122"/>
      <c r="BZ35" s="122"/>
      <c r="CA35" s="122"/>
      <c r="CB35" s="122"/>
      <c r="CC35" s="122"/>
      <c r="CD35" s="122"/>
      <c r="CE35" s="122"/>
      <c r="CF35" s="122"/>
      <c r="CG35" s="290"/>
      <c r="CH35" s="290"/>
      <c r="CI35" s="290"/>
      <c r="CJ35" s="290"/>
      <c r="CK35" s="290"/>
      <c r="CL35" s="290"/>
      <c r="CM35" s="290"/>
      <c r="CN35" s="290"/>
      <c r="CO35" s="290"/>
      <c r="CP35" s="290"/>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c r="EA35" s="145"/>
      <c r="EB35" s="145"/>
      <c r="EC35" s="145"/>
      <c r="ED35" s="145"/>
      <c r="EE35" s="145"/>
      <c r="EF35" s="145"/>
      <c r="EG35" s="145"/>
      <c r="EH35" s="145"/>
      <c r="EI35" s="145"/>
      <c r="EJ35" s="145"/>
      <c r="EK35" s="145"/>
      <c r="EL35" s="145"/>
      <c r="EM35" s="145"/>
      <c r="EN35" s="145"/>
      <c r="EO35" s="145"/>
      <c r="EP35" s="145"/>
      <c r="EQ35" s="145"/>
      <c r="ER35" s="145"/>
      <c r="ES35" s="145"/>
      <c r="ET35" s="145"/>
    </row>
    <row r="36" spans="1:150" s="146" customFormat="1" ht="13.5" customHeight="1" thickBot="1">
      <c r="A36" s="1149"/>
      <c r="B36" s="1150"/>
      <c r="C36" s="1150"/>
      <c r="D36" s="1150"/>
      <c r="E36" s="1150"/>
      <c r="F36" s="1150"/>
      <c r="G36" s="1150"/>
      <c r="H36" s="1150"/>
      <c r="I36" s="1150"/>
      <c r="J36" s="1150"/>
      <c r="K36" s="1150"/>
      <c r="L36" s="1150"/>
      <c r="M36" s="1150"/>
      <c r="N36" s="1150"/>
      <c r="O36" s="1150"/>
      <c r="P36" s="1150"/>
      <c r="Q36" s="1150"/>
      <c r="R36" s="1150"/>
      <c r="S36" s="1151"/>
      <c r="T36" s="298"/>
      <c r="U36" s="1070"/>
      <c r="V36" s="1071"/>
      <c r="W36" s="1071"/>
      <c r="X36" s="1071"/>
      <c r="Y36" s="1071"/>
      <c r="Z36" s="209"/>
      <c r="AA36" s="209"/>
      <c r="AB36" s="209"/>
      <c r="AC36" s="638" t="s">
        <v>138</v>
      </c>
      <c r="AD36" s="1203"/>
      <c r="AE36" s="1204"/>
      <c r="AF36" s="209" t="s">
        <v>244</v>
      </c>
      <c r="AG36" s="209"/>
      <c r="AH36" s="209"/>
      <c r="AI36" s="209"/>
      <c r="AJ36" s="209"/>
      <c r="AK36" s="209"/>
      <c r="AL36" s="638" t="s">
        <v>182</v>
      </c>
      <c r="AM36" s="1076" t="str">
        <f>IF(A10=0,"",AD36/1000*1.163*(AD30-AH30))</f>
        <v/>
      </c>
      <c r="AN36" s="1077"/>
      <c r="AO36" s="59" t="s">
        <v>57</v>
      </c>
      <c r="AP36" s="59"/>
      <c r="AQ36" s="235"/>
      <c r="AR36" s="296"/>
      <c r="AS36" s="115"/>
      <c r="AT36" s="115"/>
      <c r="AU36" s="115"/>
      <c r="AV36" s="115"/>
      <c r="AW36" s="124"/>
      <c r="AX36" s="528"/>
      <c r="AY36" s="122"/>
      <c r="AZ36" s="605"/>
      <c r="BA36" s="1065" t="str">
        <f>IF(AC21&gt;0,AA17+AA23,"")</f>
        <v/>
      </c>
      <c r="BB36" s="1066"/>
      <c r="BC36" s="1067"/>
      <c r="BD36" s="542"/>
      <c r="BE36" s="542"/>
      <c r="BF36" s="542"/>
      <c r="BG36" s="542"/>
      <c r="BH36" s="765"/>
      <c r="BI36" s="765"/>
      <c r="BJ36" s="765"/>
      <c r="BK36" s="542"/>
      <c r="BL36" s="607"/>
      <c r="BM36" s="122"/>
      <c r="BN36" s="122"/>
      <c r="BO36" s="122"/>
      <c r="BP36" s="122"/>
      <c r="BQ36" s="122"/>
      <c r="BR36" s="122"/>
      <c r="BS36" s="122"/>
      <c r="BT36" s="122"/>
      <c r="BU36" s="122"/>
      <c r="BV36" s="122"/>
      <c r="BW36" s="122"/>
      <c r="BX36" s="122"/>
      <c r="BY36" s="122"/>
      <c r="BZ36" s="122"/>
      <c r="CA36" s="122"/>
      <c r="CB36" s="122"/>
      <c r="CC36" s="122"/>
      <c r="CD36" s="122"/>
      <c r="CE36" s="122"/>
      <c r="CF36" s="122"/>
      <c r="CG36" s="290"/>
      <c r="CH36" s="290"/>
      <c r="CI36" s="290"/>
      <c r="CJ36" s="290"/>
      <c r="CK36" s="290"/>
      <c r="CL36" s="290"/>
      <c r="CM36" s="290"/>
      <c r="CN36" s="290"/>
      <c r="CO36" s="290"/>
      <c r="CP36" s="290"/>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row>
    <row r="37" spans="1:150" s="146" customFormat="1" ht="13.5" customHeight="1" thickTop="1" thickBot="1">
      <c r="A37" s="1152"/>
      <c r="B37" s="1153"/>
      <c r="C37" s="1153"/>
      <c r="D37" s="1153"/>
      <c r="E37" s="1153"/>
      <c r="F37" s="1153"/>
      <c r="G37" s="1153"/>
      <c r="H37" s="1153"/>
      <c r="I37" s="1153"/>
      <c r="J37" s="1153"/>
      <c r="K37" s="1153"/>
      <c r="L37" s="1153"/>
      <c r="M37" s="1153"/>
      <c r="N37" s="1153"/>
      <c r="O37" s="1153"/>
      <c r="P37" s="1153"/>
      <c r="Q37" s="1153"/>
      <c r="R37" s="1153"/>
      <c r="S37" s="1154"/>
      <c r="T37" s="298"/>
      <c r="U37" s="236"/>
      <c r="V37" s="213"/>
      <c r="W37" s="213"/>
      <c r="X37" s="213"/>
      <c r="Y37" s="213"/>
      <c r="Z37" s="213"/>
      <c r="AA37" s="213"/>
      <c r="AB37" s="213"/>
      <c r="AC37" s="213"/>
      <c r="AD37" s="213"/>
      <c r="AE37" s="213"/>
      <c r="AF37" s="213"/>
      <c r="AG37" s="213"/>
      <c r="AH37" s="213"/>
      <c r="AI37" s="213"/>
      <c r="AJ37" s="213"/>
      <c r="AK37" s="213"/>
      <c r="AL37" s="237" t="str">
        <f>IF(A10=0,"",IF(AM31&gt;BX19,"Unterdeckung","Ausreichende Speichergröße, Überdeckung"))</f>
        <v/>
      </c>
      <c r="AM37" s="825" t="str">
        <f>IF(A10=0,"",ABS(AM31-BX19))</f>
        <v/>
      </c>
      <c r="AN37" s="825"/>
      <c r="AO37" s="212" t="s">
        <v>57</v>
      </c>
      <c r="AP37" s="212"/>
      <c r="AQ37" s="238"/>
      <c r="AR37" s="296"/>
      <c r="AS37" s="115"/>
      <c r="AT37" s="115"/>
      <c r="AU37" s="115"/>
      <c r="AV37" s="115"/>
      <c r="AW37" s="124"/>
      <c r="AX37" s="528"/>
      <c r="AY37" s="122"/>
      <c r="AZ37" s="605"/>
      <c r="BA37" s="1065" t="str">
        <f>IF(AC21&gt;0,AA17*AQ15+AA23*AQ21,"")</f>
        <v/>
      </c>
      <c r="BB37" s="1066"/>
      <c r="BC37" s="1067"/>
      <c r="BL37" s="607"/>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290"/>
      <c r="CP37" s="290"/>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c r="EA37" s="145"/>
      <c r="EB37" s="145"/>
      <c r="EC37" s="145"/>
      <c r="ED37" s="145"/>
      <c r="EE37" s="145"/>
      <c r="EF37" s="145"/>
      <c r="EG37" s="145"/>
      <c r="EH37" s="145"/>
      <c r="EI37" s="145"/>
      <c r="EJ37" s="145"/>
      <c r="EK37" s="145"/>
      <c r="EL37" s="145"/>
      <c r="EM37" s="145"/>
      <c r="EN37" s="145"/>
      <c r="EO37" s="145"/>
      <c r="EP37" s="145"/>
      <c r="EQ37" s="145"/>
      <c r="ER37" s="145"/>
      <c r="ES37" s="145"/>
      <c r="ET37" s="145"/>
    </row>
    <row r="38" spans="1:150" s="146" customFormat="1" ht="13.5" customHeight="1" thickBot="1">
      <c r="A38" s="591" t="s">
        <v>56</v>
      </c>
      <c r="B38" s="117"/>
      <c r="C38" s="117"/>
      <c r="D38" s="117"/>
      <c r="E38" s="117"/>
      <c r="F38" s="117"/>
      <c r="G38" s="117"/>
      <c r="H38" s="117"/>
      <c r="I38" s="117"/>
      <c r="J38" s="117"/>
      <c r="K38" s="117"/>
      <c r="L38" s="117"/>
      <c r="M38" s="117"/>
      <c r="N38" s="117"/>
      <c r="O38" s="117"/>
      <c r="P38" s="117"/>
      <c r="Q38" s="117"/>
      <c r="R38" s="117"/>
      <c r="S38" s="117"/>
      <c r="T38" s="117"/>
      <c r="V38" s="527"/>
      <c r="W38" s="527"/>
      <c r="X38" s="527"/>
      <c r="Y38" s="527"/>
      <c r="Z38" s="527"/>
      <c r="AA38" s="527"/>
      <c r="AB38" s="527"/>
      <c r="AC38" s="527"/>
      <c r="AD38" s="527"/>
      <c r="AE38" s="527"/>
      <c r="AF38" s="527"/>
      <c r="AG38" s="527"/>
      <c r="AH38" s="527"/>
      <c r="AI38" s="527"/>
      <c r="AJ38" s="527"/>
      <c r="AK38" s="527"/>
      <c r="AL38" s="527"/>
      <c r="AM38" s="527"/>
      <c r="AN38" s="527"/>
      <c r="AO38" s="527"/>
      <c r="AP38" s="527"/>
      <c r="AQ38" s="527"/>
      <c r="AR38" s="297"/>
      <c r="AS38" s="117"/>
      <c r="AT38" s="117"/>
      <c r="AU38" s="117"/>
      <c r="AV38" s="117"/>
      <c r="AW38" s="527"/>
      <c r="AX38" s="529"/>
      <c r="AY38" s="122"/>
      <c r="AZ38" s="609"/>
      <c r="BA38" s="1078" t="str">
        <f>I22</f>
        <v/>
      </c>
      <c r="BB38" s="1079"/>
      <c r="BC38" s="1080"/>
      <c r="BD38" s="610"/>
      <c r="BE38" s="610"/>
      <c r="BF38" s="610"/>
      <c r="BG38" s="610"/>
      <c r="BH38" s="610"/>
      <c r="BI38" s="610"/>
      <c r="BJ38" s="610"/>
      <c r="BK38" s="610"/>
      <c r="BL38" s="611"/>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290"/>
      <c r="CP38" s="290"/>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row>
    <row r="39" spans="1:150" s="146" customFormat="1" ht="13.5" customHeight="1">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290"/>
      <c r="CP39" s="290"/>
      <c r="CQ39" s="122"/>
      <c r="CR39" s="122"/>
      <c r="CS39" s="122"/>
      <c r="CT39" s="122"/>
      <c r="CU39" s="122"/>
      <c r="CV39" s="122"/>
      <c r="CW39" s="122"/>
      <c r="CX39" s="122"/>
      <c r="CY39" s="122"/>
      <c r="CZ39" s="122"/>
      <c r="DA39" s="122"/>
      <c r="DB39" s="122"/>
      <c r="DC39" s="122"/>
      <c r="DD39" s="122"/>
      <c r="DE39" s="122"/>
      <c r="DF39" s="122"/>
      <c r="DG39" s="122"/>
      <c r="DH39" s="122"/>
      <c r="DI39" s="145"/>
      <c r="DJ39" s="145"/>
      <c r="DK39" s="145"/>
      <c r="DL39" s="145"/>
      <c r="DM39" s="145"/>
      <c r="DN39" s="145"/>
      <c r="DO39" s="145"/>
      <c r="DP39" s="145"/>
      <c r="DQ39" s="145"/>
      <c r="DR39" s="145"/>
      <c r="DS39" s="145"/>
      <c r="DT39" s="145"/>
      <c r="DU39" s="145"/>
      <c r="DV39" s="145"/>
      <c r="DW39" s="145"/>
      <c r="DX39" s="145"/>
      <c r="DY39" s="145"/>
      <c r="DZ39" s="145"/>
      <c r="EA39" s="145"/>
      <c r="EB39" s="145"/>
      <c r="EC39" s="145"/>
      <c r="ED39" s="145"/>
      <c r="EE39" s="145"/>
      <c r="EF39" s="145"/>
      <c r="EG39" s="145"/>
      <c r="EH39" s="145"/>
      <c r="EI39" s="145"/>
      <c r="EJ39" s="145"/>
      <c r="EK39" s="145"/>
      <c r="EL39" s="145"/>
      <c r="EM39" s="145"/>
      <c r="EN39" s="145"/>
      <c r="EO39" s="145"/>
      <c r="EP39" s="145"/>
      <c r="EQ39" s="145"/>
      <c r="ER39" s="145"/>
      <c r="ES39" s="145"/>
      <c r="ET39" s="145"/>
    </row>
    <row r="40" spans="1:150" ht="13.5" customHeight="1">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row>
    <row r="41" spans="1:150" ht="13.2" customHeight="1" thickBo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row>
    <row r="42" spans="1:150" s="122" customFormat="1" ht="13.2" customHeight="1" thickBot="1">
      <c r="A42" s="251"/>
      <c r="B42" s="252"/>
      <c r="C42" s="253" t="s">
        <v>51</v>
      </c>
      <c r="D42" s="254"/>
      <c r="E42" s="254"/>
      <c r="F42" s="254"/>
      <c r="G42" s="254"/>
      <c r="H42" s="254"/>
      <c r="I42" s="254"/>
      <c r="J42" s="254"/>
      <c r="K42" s="254"/>
      <c r="L42" s="255"/>
      <c r="M42" s="1081">
        <f>IF(M50=0,1,"")</f>
        <v>1</v>
      </c>
      <c r="N42" s="1082"/>
      <c r="O42" s="1081">
        <f>IF(M51=0,1,"")</f>
        <v>1</v>
      </c>
      <c r="P42" s="1082"/>
      <c r="Q42" s="1081">
        <f>IF(O50=0,1,"")</f>
        <v>1</v>
      </c>
      <c r="R42" s="1082"/>
      <c r="S42" s="1081">
        <f>IF(Q51=0,1,"")</f>
        <v>1</v>
      </c>
      <c r="T42" s="1082"/>
      <c r="U42" s="1081">
        <f>IF(S50=0,1,"")</f>
        <v>1</v>
      </c>
      <c r="V42" s="1082"/>
      <c r="W42" s="1081">
        <f>IF(U51=0,1,"")</f>
        <v>1</v>
      </c>
      <c r="X42" s="1082"/>
      <c r="Y42" s="1081">
        <f>IF(W50=0,1,"")</f>
        <v>1</v>
      </c>
      <c r="Z42" s="1082"/>
      <c r="AA42" s="1081">
        <f>IF(Y50=0,1,"")</f>
        <v>1</v>
      </c>
      <c r="AB42" s="1082"/>
      <c r="AC42" s="1081">
        <f>IF(AA51=0,1,"")</f>
        <v>1</v>
      </c>
      <c r="AD42" s="1082"/>
      <c r="AE42" s="1081">
        <f>IF(AC50=0,1,"")</f>
        <v>1</v>
      </c>
      <c r="AF42" s="1082"/>
      <c r="AG42" s="1081">
        <f>IF(AE51=0,1,"")</f>
        <v>1</v>
      </c>
      <c r="AH42" s="1082"/>
      <c r="AI42" s="1081">
        <f>IF(AG50=0,1,"")</f>
        <v>1</v>
      </c>
      <c r="AJ42" s="1082"/>
      <c r="AK42" s="1081">
        <f>IF(AI50=0,1,"")</f>
        <v>1</v>
      </c>
      <c r="AL42" s="1082"/>
      <c r="AM42" s="1081">
        <f>IF(AK51=0,1,"")</f>
        <v>1</v>
      </c>
      <c r="AN42" s="1082"/>
      <c r="AO42" s="1081">
        <f>IF(AM50=0,1,"")</f>
        <v>1</v>
      </c>
      <c r="AP42" s="1082"/>
      <c r="AQ42" s="256"/>
      <c r="AR42" s="257"/>
      <c r="AS42" s="258"/>
      <c r="AT42" s="126"/>
      <c r="AU42" s="126"/>
      <c r="AV42" s="126"/>
      <c r="AW42" s="126"/>
      <c r="AX42" s="259"/>
    </row>
    <row r="43" spans="1:150" s="122" customFormat="1" ht="13.2" customHeight="1" thickBot="1">
      <c r="A43" s="251"/>
      <c r="B43" s="252"/>
      <c r="C43" s="258"/>
      <c r="D43" s="126"/>
      <c r="E43" s="259"/>
      <c r="F43" s="262"/>
      <c r="G43" s="120"/>
      <c r="H43" s="263"/>
      <c r="I43" s="264"/>
      <c r="J43" s="120"/>
      <c r="K43" s="120"/>
      <c r="L43" s="265" t="s">
        <v>43</v>
      </c>
      <c r="M43" s="1083">
        <v>1</v>
      </c>
      <c r="N43" s="1084"/>
      <c r="O43" s="1084">
        <v>7</v>
      </c>
      <c r="P43" s="1084"/>
      <c r="Q43" s="1084">
        <v>10</v>
      </c>
      <c r="R43" s="1084"/>
      <c r="S43" s="1084">
        <v>14</v>
      </c>
      <c r="T43" s="1084"/>
      <c r="U43" s="1084">
        <v>20</v>
      </c>
      <c r="V43" s="1084"/>
      <c r="W43" s="1084">
        <v>21</v>
      </c>
      <c r="X43" s="1084"/>
      <c r="Y43" s="1084">
        <v>28</v>
      </c>
      <c r="Z43" s="1084"/>
      <c r="AA43" s="1084">
        <v>30</v>
      </c>
      <c r="AB43" s="1084"/>
      <c r="AC43" s="1084">
        <v>35</v>
      </c>
      <c r="AD43" s="1084"/>
      <c r="AE43" s="1084">
        <v>40</v>
      </c>
      <c r="AF43" s="1084"/>
      <c r="AG43" s="1084">
        <v>42</v>
      </c>
      <c r="AH43" s="1084"/>
      <c r="AI43" s="1084">
        <v>49</v>
      </c>
      <c r="AJ43" s="1084"/>
      <c r="AK43" s="1084">
        <v>50</v>
      </c>
      <c r="AL43" s="1084"/>
      <c r="AM43" s="1084">
        <v>56</v>
      </c>
      <c r="AN43" s="1084"/>
      <c r="AO43" s="1084">
        <v>60</v>
      </c>
      <c r="AP43" s="1084"/>
      <c r="AQ43" s="266" t="s">
        <v>46</v>
      </c>
      <c r="AR43" s="267"/>
      <c r="AS43" s="262"/>
      <c r="AT43" s="120"/>
      <c r="AU43" s="120"/>
      <c r="AV43" s="120"/>
      <c r="AW43" s="120"/>
      <c r="AX43" s="268"/>
    </row>
    <row r="44" spans="1:150" s="122" customFormat="1" ht="13.2" customHeight="1">
      <c r="A44" s="251"/>
      <c r="B44" s="252"/>
      <c r="C44" s="262"/>
      <c r="D44" s="120"/>
      <c r="E44" s="268"/>
      <c r="F44" s="1085" t="s">
        <v>41</v>
      </c>
      <c r="G44" s="126"/>
      <c r="H44" s="269"/>
      <c r="I44" s="270"/>
      <c r="J44" s="126"/>
      <c r="K44" s="271"/>
      <c r="L44" s="272" t="s">
        <v>44</v>
      </c>
      <c r="M44" s="1088">
        <f>D11</f>
        <v>0</v>
      </c>
      <c r="N44" s="1089"/>
      <c r="O44" s="1090">
        <f>M44</f>
        <v>0</v>
      </c>
      <c r="P44" s="1090"/>
      <c r="Q44" s="126"/>
      <c r="R44" s="126"/>
      <c r="S44" s="1090">
        <f>M44</f>
        <v>0</v>
      </c>
      <c r="T44" s="1090"/>
      <c r="U44" s="126"/>
      <c r="V44" s="126"/>
      <c r="W44" s="1090">
        <f>M44</f>
        <v>0</v>
      </c>
      <c r="X44" s="1090"/>
      <c r="Y44" s="1090">
        <f>O44</f>
        <v>0</v>
      </c>
      <c r="Z44" s="1090"/>
      <c r="AA44" s="126"/>
      <c r="AB44" s="126"/>
      <c r="AC44" s="1090">
        <f>M44</f>
        <v>0</v>
      </c>
      <c r="AD44" s="1090"/>
      <c r="AE44" s="126"/>
      <c r="AF44" s="126"/>
      <c r="AG44" s="1090">
        <f>M44</f>
        <v>0</v>
      </c>
      <c r="AH44" s="1090"/>
      <c r="AI44" s="1090">
        <f>M44</f>
        <v>0</v>
      </c>
      <c r="AJ44" s="1090"/>
      <c r="AK44" s="126"/>
      <c r="AL44" s="126"/>
      <c r="AM44" s="1090">
        <f>M44</f>
        <v>0</v>
      </c>
      <c r="AN44" s="1090"/>
      <c r="AO44" s="126"/>
      <c r="AP44" s="126"/>
      <c r="AQ44" s="1095"/>
      <c r="AR44" s="1096"/>
      <c r="AS44" s="262"/>
      <c r="AT44" s="120"/>
      <c r="AU44" s="120"/>
      <c r="AV44" s="120"/>
      <c r="AW44" s="120"/>
      <c r="AX44" s="268"/>
    </row>
    <row r="45" spans="1:150" s="122" customFormat="1" ht="13.2" customHeight="1">
      <c r="A45" s="251"/>
      <c r="B45" s="252"/>
      <c r="C45" s="262"/>
      <c r="D45" s="120"/>
      <c r="E45" s="268"/>
      <c r="F45" s="1086"/>
      <c r="G45" s="273"/>
      <c r="H45" s="274"/>
      <c r="I45" s="274"/>
      <c r="J45" s="275" t="s">
        <v>5</v>
      </c>
      <c r="K45" s="1094">
        <f>M45+O45+S45+W45+Y45+AC45+AG45+AI45+AM45</f>
        <v>0</v>
      </c>
      <c r="L45" s="1093"/>
      <c r="M45" s="1094">
        <f>IF(K50&gt;M44,M44,K50)</f>
        <v>0</v>
      </c>
      <c r="N45" s="1093"/>
      <c r="O45" s="1093">
        <f>IF(M51&gt;O44,O44,M51)</f>
        <v>0</v>
      </c>
      <c r="P45" s="1093"/>
      <c r="Q45" s="120"/>
      <c r="R45" s="120"/>
      <c r="S45" s="1093">
        <f>IF(Q51&gt;S44,S44,Q51)</f>
        <v>0</v>
      </c>
      <c r="T45" s="1093"/>
      <c r="U45" s="120"/>
      <c r="V45" s="120"/>
      <c r="W45" s="1093">
        <f>IF(U51&gt;W44,W44,U51)</f>
        <v>0</v>
      </c>
      <c r="X45" s="1093"/>
      <c r="Y45" s="1093">
        <f>IF(W50&gt;Y44,Y44,W50)</f>
        <v>0</v>
      </c>
      <c r="Z45" s="1093"/>
      <c r="AA45" s="120"/>
      <c r="AB45" s="120"/>
      <c r="AC45" s="1093">
        <f>IF(AA51&gt;AC44,AC44,AA51)</f>
        <v>0</v>
      </c>
      <c r="AD45" s="1093"/>
      <c r="AE45" s="120"/>
      <c r="AF45" s="120"/>
      <c r="AG45" s="1093">
        <f>IF(AE51&gt;AG44,AG44,AE51)</f>
        <v>0</v>
      </c>
      <c r="AH45" s="1093"/>
      <c r="AI45" s="1093">
        <f>IF(AG50&gt;AI44,AI44,AG50)</f>
        <v>0</v>
      </c>
      <c r="AJ45" s="1093"/>
      <c r="AK45" s="120"/>
      <c r="AL45" s="120"/>
      <c r="AM45" s="1093">
        <f>IF(AK51&gt;AI44,AI44,AK51)</f>
        <v>0</v>
      </c>
      <c r="AN45" s="1093"/>
      <c r="AO45" s="120"/>
      <c r="AP45" s="120"/>
      <c r="AQ45" s="1097"/>
      <c r="AR45" s="1098"/>
      <c r="AS45" s="262"/>
      <c r="AT45" s="120"/>
      <c r="AU45" s="120"/>
      <c r="AV45" s="120"/>
      <c r="AW45" s="120"/>
      <c r="AX45" s="268"/>
    </row>
    <row r="46" spans="1:150" s="122" customFormat="1" ht="13.2" customHeight="1">
      <c r="A46" s="251"/>
      <c r="B46" s="252"/>
      <c r="C46" s="262"/>
      <c r="D46" s="120"/>
      <c r="E46" s="268"/>
      <c r="F46" s="1086"/>
      <c r="G46" s="120"/>
      <c r="H46" s="120"/>
      <c r="I46" s="277"/>
      <c r="J46" s="278"/>
      <c r="K46" s="279"/>
      <c r="L46" s="275"/>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80"/>
      <c r="AS46" s="262"/>
      <c r="AT46" s="120"/>
      <c r="AU46" s="120"/>
      <c r="AV46" s="120"/>
      <c r="AW46" s="120"/>
      <c r="AX46" s="268"/>
    </row>
    <row r="47" spans="1:150" s="122" customFormat="1" ht="13.2" customHeight="1">
      <c r="A47" s="251"/>
      <c r="B47" s="252"/>
      <c r="C47" s="262"/>
      <c r="D47" s="120"/>
      <c r="E47" s="268"/>
      <c r="F47" s="1086"/>
      <c r="G47" s="120"/>
      <c r="H47" s="120"/>
      <c r="I47" s="273"/>
      <c r="J47" s="279"/>
      <c r="K47" s="279"/>
      <c r="L47" s="275" t="s">
        <v>45</v>
      </c>
      <c r="M47" s="1091">
        <f>D12</f>
        <v>0</v>
      </c>
      <c r="N47" s="1092"/>
      <c r="O47" s="120"/>
      <c r="P47" s="120"/>
      <c r="Q47" s="1093">
        <f>M47</f>
        <v>0</v>
      </c>
      <c r="R47" s="1093"/>
      <c r="S47" s="120"/>
      <c r="T47" s="120"/>
      <c r="U47" s="1093">
        <f>M47</f>
        <v>0</v>
      </c>
      <c r="V47" s="1093"/>
      <c r="W47" s="120"/>
      <c r="X47" s="120"/>
      <c r="Y47" s="120"/>
      <c r="Z47" s="120"/>
      <c r="AA47" s="1093">
        <f>M47</f>
        <v>0</v>
      </c>
      <c r="AB47" s="1093"/>
      <c r="AC47" s="120"/>
      <c r="AD47" s="120"/>
      <c r="AE47" s="1093">
        <f>M47</f>
        <v>0</v>
      </c>
      <c r="AF47" s="1093"/>
      <c r="AG47" s="120"/>
      <c r="AH47" s="120"/>
      <c r="AI47" s="120"/>
      <c r="AJ47" s="120"/>
      <c r="AK47" s="1093">
        <f>M47</f>
        <v>0</v>
      </c>
      <c r="AL47" s="1093"/>
      <c r="AM47" s="120"/>
      <c r="AN47" s="120"/>
      <c r="AO47" s="1093">
        <f>M47</f>
        <v>0</v>
      </c>
      <c r="AP47" s="1093"/>
      <c r="AQ47" s="1115"/>
      <c r="AR47" s="1116"/>
      <c r="AS47" s="262"/>
      <c r="AT47" s="120"/>
      <c r="AU47" s="120"/>
      <c r="AV47" s="120"/>
      <c r="AW47" s="120"/>
      <c r="AX47" s="268"/>
    </row>
    <row r="48" spans="1:150" s="122" customFormat="1" ht="13.2" customHeight="1">
      <c r="A48" s="251"/>
      <c r="B48" s="252"/>
      <c r="C48" s="262"/>
      <c r="D48" s="120"/>
      <c r="E48" s="268"/>
      <c r="F48" s="1086"/>
      <c r="G48" s="273"/>
      <c r="H48" s="274"/>
      <c r="I48" s="274"/>
      <c r="J48" s="275" t="s">
        <v>5</v>
      </c>
      <c r="K48" s="1094">
        <f>M48+Q48+U48+AA48+Y48+AE48+AG48+AK48+AO48</f>
        <v>0</v>
      </c>
      <c r="L48" s="1093"/>
      <c r="M48" s="1094">
        <f>IF(M50&gt;M47,M47,M50)</f>
        <v>0</v>
      </c>
      <c r="N48" s="1093"/>
      <c r="O48" s="120"/>
      <c r="P48" s="120"/>
      <c r="Q48" s="1093">
        <f>IF(O50&gt;Q47,Q47,O50)</f>
        <v>0</v>
      </c>
      <c r="R48" s="1093"/>
      <c r="S48" s="120"/>
      <c r="T48" s="120"/>
      <c r="U48" s="1093">
        <f>IF(S50&gt;U47,U47,S50)</f>
        <v>0</v>
      </c>
      <c r="V48" s="1093"/>
      <c r="W48" s="120"/>
      <c r="X48" s="120"/>
      <c r="Y48" s="120"/>
      <c r="Z48" s="120"/>
      <c r="AA48" s="1093">
        <f>IF(Y50&gt;AA47,AA47,Y50)</f>
        <v>0</v>
      </c>
      <c r="AB48" s="1093"/>
      <c r="AC48" s="120"/>
      <c r="AD48" s="120"/>
      <c r="AE48" s="1093">
        <f>IF(AC50&gt;AE47,AE47,AC50)</f>
        <v>0</v>
      </c>
      <c r="AF48" s="1093"/>
      <c r="AG48" s="120"/>
      <c r="AH48" s="120"/>
      <c r="AI48" s="120"/>
      <c r="AJ48" s="120"/>
      <c r="AK48" s="1093">
        <f>IF(AI50&gt;AK47,AK47,AI50)</f>
        <v>0</v>
      </c>
      <c r="AL48" s="1093"/>
      <c r="AM48" s="120"/>
      <c r="AN48" s="120"/>
      <c r="AO48" s="1093">
        <f>IF(AM50&gt;AO47,AO47,AM50)</f>
        <v>0</v>
      </c>
      <c r="AP48" s="1093"/>
      <c r="AQ48" s="1097"/>
      <c r="AR48" s="1098"/>
      <c r="AS48" s="262"/>
      <c r="AT48" s="120"/>
      <c r="AU48" s="120"/>
      <c r="AV48" s="120"/>
      <c r="AW48" s="120"/>
      <c r="AX48" s="268"/>
    </row>
    <row r="49" spans="1:50" s="122" customFormat="1" ht="13.2" customHeight="1" thickBot="1">
      <c r="A49" s="251"/>
      <c r="B49" s="252"/>
      <c r="C49" s="262"/>
      <c r="D49" s="120"/>
      <c r="E49" s="268"/>
      <c r="F49" s="1087"/>
      <c r="G49" s="132"/>
      <c r="H49" s="132"/>
      <c r="I49" s="284"/>
      <c r="J49" s="285"/>
      <c r="K49" s="285"/>
      <c r="L49" s="286"/>
      <c r="M49" s="1111"/>
      <c r="N49" s="1111"/>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7"/>
      <c r="AS49" s="262"/>
      <c r="AT49" s="120"/>
      <c r="AU49" s="120"/>
      <c r="AV49" s="120"/>
      <c r="AW49" s="120"/>
      <c r="AX49" s="268"/>
    </row>
    <row r="50" spans="1:50" s="122" customFormat="1" ht="13.2" customHeight="1">
      <c r="A50" s="251"/>
      <c r="B50" s="252"/>
      <c r="C50" s="262"/>
      <c r="D50" s="120"/>
      <c r="E50" s="268"/>
      <c r="F50" s="262"/>
      <c r="G50" s="277"/>
      <c r="H50" s="288"/>
      <c r="I50" s="288"/>
      <c r="J50" s="289" t="s">
        <v>47</v>
      </c>
      <c r="K50" s="1112">
        <f>G6</f>
        <v>0</v>
      </c>
      <c r="L50" s="1113"/>
      <c r="M50" s="1114">
        <f>K50-M45</f>
        <v>0</v>
      </c>
      <c r="N50" s="1110"/>
      <c r="O50" s="1110">
        <f>M51-O45</f>
        <v>0</v>
      </c>
      <c r="P50" s="1110"/>
      <c r="Q50" s="120"/>
      <c r="R50" s="120"/>
      <c r="S50" s="1110">
        <f>Q51-S45</f>
        <v>0</v>
      </c>
      <c r="T50" s="1110"/>
      <c r="U50" s="120"/>
      <c r="V50" s="120"/>
      <c r="W50" s="1110">
        <f>U51-W45</f>
        <v>0</v>
      </c>
      <c r="X50" s="1110"/>
      <c r="Y50" s="1110">
        <f>W50-Y45</f>
        <v>0</v>
      </c>
      <c r="Z50" s="1110"/>
      <c r="AA50" s="120"/>
      <c r="AB50" s="120"/>
      <c r="AC50" s="1110">
        <f>AA51-AC45</f>
        <v>0</v>
      </c>
      <c r="AD50" s="1110"/>
      <c r="AE50" s="120"/>
      <c r="AF50" s="120"/>
      <c r="AG50" s="1110">
        <f>AE51-AG45</f>
        <v>0</v>
      </c>
      <c r="AH50" s="1110"/>
      <c r="AI50" s="1110">
        <f>AG50-AI45</f>
        <v>0</v>
      </c>
      <c r="AJ50" s="1110"/>
      <c r="AK50" s="120"/>
      <c r="AL50" s="120"/>
      <c r="AM50" s="1110">
        <f>AK51-AM45</f>
        <v>0</v>
      </c>
      <c r="AN50" s="1110"/>
      <c r="AO50" s="120"/>
      <c r="AP50" s="120"/>
      <c r="AQ50" s="120"/>
      <c r="AR50" s="268"/>
      <c r="AS50" s="262"/>
      <c r="AT50" s="120"/>
      <c r="AU50" s="120"/>
      <c r="AV50" s="120"/>
      <c r="AW50" s="120"/>
      <c r="AX50" s="268"/>
    </row>
    <row r="51" spans="1:50" s="122" customFormat="1" ht="13.2" customHeight="1" thickBot="1">
      <c r="A51" s="251"/>
      <c r="B51" s="252"/>
      <c r="C51" s="276"/>
      <c r="D51" s="132"/>
      <c r="E51" s="247"/>
      <c r="F51" s="276"/>
      <c r="G51" s="132"/>
      <c r="H51" s="132"/>
      <c r="I51" s="132"/>
      <c r="J51" s="132"/>
      <c r="K51" s="132"/>
      <c r="L51" s="132"/>
      <c r="M51" s="1108">
        <f>M50-M48</f>
        <v>0</v>
      </c>
      <c r="N51" s="1108"/>
      <c r="O51" s="132"/>
      <c r="P51" s="132"/>
      <c r="Q51" s="1108">
        <f>O50-Q48</f>
        <v>0</v>
      </c>
      <c r="R51" s="1108"/>
      <c r="S51" s="132"/>
      <c r="T51" s="132"/>
      <c r="U51" s="1108">
        <f>S50-U48</f>
        <v>0</v>
      </c>
      <c r="V51" s="1108"/>
      <c r="W51" s="132"/>
      <c r="X51" s="132"/>
      <c r="Y51" s="132"/>
      <c r="Z51" s="132"/>
      <c r="AA51" s="1108">
        <f>Y50-AA48</f>
        <v>0</v>
      </c>
      <c r="AB51" s="1108"/>
      <c r="AC51" s="132"/>
      <c r="AD51" s="132"/>
      <c r="AE51" s="1108">
        <f>AC50-AE48</f>
        <v>0</v>
      </c>
      <c r="AF51" s="1108"/>
      <c r="AG51" s="132"/>
      <c r="AH51" s="132"/>
      <c r="AI51" s="132"/>
      <c r="AJ51" s="132"/>
      <c r="AK51" s="1108">
        <f>AI50-AK48</f>
        <v>0</v>
      </c>
      <c r="AL51" s="1108"/>
      <c r="AM51" s="132"/>
      <c r="AN51" s="132"/>
      <c r="AO51" s="1108">
        <f>AM50-AO48</f>
        <v>0</v>
      </c>
      <c r="AP51" s="1108"/>
      <c r="AQ51" s="1108"/>
      <c r="AR51" s="1109"/>
      <c r="AS51" s="276"/>
      <c r="AT51" s="132"/>
      <c r="AU51" s="132"/>
      <c r="AV51" s="132"/>
      <c r="AW51" s="132"/>
      <c r="AX51" s="247"/>
    </row>
    <row r="52" spans="1:50" s="122" customFormat="1" ht="13.2" customHeight="1"/>
    <row r="53" spans="1:50" s="122" customFormat="1" ht="13.2" customHeight="1">
      <c r="A53" s="290"/>
      <c r="B53" s="290"/>
      <c r="V53" s="290"/>
      <c r="AM53" s="290"/>
      <c r="AN53" s="290"/>
      <c r="AO53" s="290"/>
      <c r="AP53" s="290"/>
      <c r="AQ53" s="290"/>
      <c r="AR53" s="290"/>
      <c r="AS53" s="290"/>
      <c r="AT53" s="290"/>
      <c r="AU53" s="290"/>
      <c r="AV53" s="290"/>
      <c r="AW53" s="290"/>
      <c r="AX53" s="290"/>
    </row>
    <row r="54" spans="1:50" s="122" customFormat="1" ht="13.2" customHeight="1">
      <c r="A54" s="290"/>
      <c r="B54" s="290"/>
      <c r="C54" s="290"/>
      <c r="O54" s="290"/>
      <c r="AV54" s="290"/>
      <c r="AW54" s="290"/>
      <c r="AX54" s="290"/>
    </row>
    <row r="55" spans="1:50" s="122" customFormat="1" ht="13.2" customHeight="1">
      <c r="A55" s="290"/>
      <c r="B55" s="290"/>
      <c r="C55" s="290"/>
      <c r="O55" s="290"/>
      <c r="AV55" s="290"/>
      <c r="AW55" s="290"/>
      <c r="AX55" s="290"/>
    </row>
    <row r="56" spans="1:50" s="122" customFormat="1" ht="13.2" customHeight="1">
      <c r="A56" s="290"/>
      <c r="B56" s="290"/>
      <c r="O56" s="290"/>
    </row>
    <row r="57" spans="1:50" s="122" customFormat="1" ht="13.2" customHeight="1">
      <c r="A57" s="290"/>
      <c r="B57" s="290"/>
    </row>
    <row r="58" spans="1:50" s="122" customFormat="1" ht="13.2" customHeight="1">
      <c r="A58" s="290"/>
      <c r="B58" s="290"/>
    </row>
    <row r="59" spans="1:50" s="122" customFormat="1" ht="13.2" customHeight="1">
      <c r="A59" s="290"/>
      <c r="B59" s="290"/>
      <c r="C59" s="290"/>
    </row>
    <row r="60" spans="1:50" s="122" customFormat="1" ht="13.2" customHeight="1">
      <c r="A60" s="290"/>
      <c r="B60" s="290"/>
      <c r="C60" s="290"/>
    </row>
    <row r="61" spans="1:50" s="122" customFormat="1" ht="13.2" customHeight="1">
      <c r="A61" s="290"/>
      <c r="B61" s="290"/>
      <c r="C61" s="290"/>
      <c r="AV61" s="290"/>
      <c r="AW61" s="290"/>
      <c r="AX61" s="290"/>
    </row>
    <row r="62" spans="1:50" s="122" customFormat="1" ht="13.2" customHeight="1">
      <c r="A62" s="290"/>
      <c r="B62" s="290"/>
      <c r="C62" s="290"/>
      <c r="AV62" s="290"/>
      <c r="AW62" s="290"/>
      <c r="AX62" s="290"/>
    </row>
    <row r="63" spans="1:50" s="122" customFormat="1" ht="13.2" customHeight="1">
      <c r="A63" s="290"/>
      <c r="B63" s="290"/>
      <c r="C63" s="290"/>
      <c r="AV63" s="290"/>
      <c r="AW63" s="290"/>
      <c r="AX63" s="290"/>
    </row>
    <row r="64" spans="1:50" s="122" customFormat="1" ht="13.2" customHeight="1">
      <c r="A64" s="290"/>
      <c r="B64" s="290"/>
      <c r="C64" s="290"/>
      <c r="AV64" s="290"/>
      <c r="AW64" s="290"/>
      <c r="AX64" s="290"/>
    </row>
    <row r="65" spans="1:93" s="122" customFormat="1" ht="13.2" customHeight="1">
      <c r="A65" s="290"/>
      <c r="B65" s="290"/>
      <c r="C65" s="290"/>
      <c r="AV65" s="290"/>
      <c r="AW65" s="290"/>
      <c r="AX65" s="290"/>
    </row>
    <row r="66" spans="1:93" s="122" customFormat="1" ht="13.2" customHeight="1">
      <c r="A66" s="290"/>
      <c r="B66" s="290"/>
      <c r="C66" s="290"/>
      <c r="AV66" s="290"/>
      <c r="AW66" s="290"/>
      <c r="AX66" s="290"/>
      <c r="CM66" s="290"/>
      <c r="CN66" s="290"/>
      <c r="CO66" s="290"/>
    </row>
    <row r="67" spans="1:93" s="122" customFormat="1" ht="13.2" customHeight="1">
      <c r="A67" s="290"/>
      <c r="B67" s="290"/>
      <c r="C67" s="290"/>
      <c r="AV67" s="290"/>
      <c r="AW67" s="290"/>
      <c r="AX67" s="290"/>
      <c r="CM67" s="290"/>
      <c r="CN67" s="290"/>
      <c r="CO67" s="290"/>
    </row>
    <row r="68" spans="1:93" s="122" customFormat="1" ht="13.2" customHeight="1">
      <c r="A68" s="290"/>
      <c r="B68" s="290"/>
      <c r="C68" s="290"/>
      <c r="D68" s="290"/>
      <c r="E68" s="290"/>
      <c r="F68" s="290"/>
      <c r="G68" s="290"/>
      <c r="H68" s="290"/>
      <c r="I68" s="290"/>
      <c r="J68" s="290"/>
      <c r="K68" s="290"/>
      <c r="L68" s="290"/>
      <c r="M68" s="290"/>
      <c r="N68" s="290"/>
      <c r="O68" s="290"/>
      <c r="AV68" s="290"/>
      <c r="AW68" s="290"/>
      <c r="AX68" s="290"/>
      <c r="CM68" s="290"/>
      <c r="CN68" s="290"/>
      <c r="CO68" s="290"/>
    </row>
    <row r="69" spans="1:93" s="122" customFormat="1" ht="13.2" customHeight="1">
      <c r="B69" s="290"/>
      <c r="C69" s="290"/>
      <c r="D69" s="290"/>
      <c r="E69" s="290"/>
      <c r="F69" s="290"/>
      <c r="G69" s="290"/>
      <c r="H69" s="290"/>
      <c r="I69" s="290"/>
      <c r="J69" s="290"/>
      <c r="K69" s="290"/>
      <c r="L69" s="290"/>
      <c r="M69" s="290"/>
      <c r="N69" s="290"/>
      <c r="O69" s="290"/>
      <c r="AV69" s="290"/>
      <c r="AW69" s="290"/>
      <c r="AX69" s="290"/>
      <c r="CM69" s="290"/>
      <c r="CN69" s="290"/>
      <c r="CO69" s="290"/>
    </row>
    <row r="70" spans="1:93" s="122" customFormat="1" ht="13.2" customHeight="1">
      <c r="B70" s="290"/>
      <c r="C70" s="290"/>
      <c r="D70" s="290"/>
      <c r="E70" s="290"/>
      <c r="F70" s="290"/>
      <c r="G70" s="290"/>
      <c r="H70" s="290"/>
      <c r="I70" s="290"/>
      <c r="J70" s="290"/>
      <c r="K70" s="290"/>
      <c r="L70" s="290"/>
      <c r="M70" s="290"/>
      <c r="N70" s="290"/>
      <c r="O70" s="290"/>
      <c r="P70" s="290"/>
      <c r="Q70" s="290"/>
      <c r="R70" s="290"/>
      <c r="AV70" s="290"/>
      <c r="AW70" s="290"/>
      <c r="AX70" s="290"/>
      <c r="CM70" s="290"/>
      <c r="CN70" s="290"/>
      <c r="CO70" s="290"/>
    </row>
    <row r="71" spans="1:93" s="122" customFormat="1" ht="13.2" customHeight="1">
      <c r="B71" s="290"/>
      <c r="C71" s="290"/>
      <c r="D71" s="290"/>
      <c r="E71" s="290"/>
      <c r="F71" s="290"/>
      <c r="G71" s="290"/>
      <c r="H71" s="290"/>
      <c r="I71" s="290"/>
      <c r="J71" s="290"/>
      <c r="K71" s="290"/>
      <c r="L71" s="290"/>
      <c r="M71" s="290"/>
      <c r="N71" s="290"/>
      <c r="O71" s="290"/>
      <c r="P71" s="290"/>
      <c r="Q71" s="290"/>
      <c r="R71" s="290"/>
      <c r="AV71" s="290"/>
      <c r="AW71" s="290"/>
      <c r="AX71" s="290"/>
      <c r="CM71" s="290"/>
      <c r="CN71" s="290"/>
      <c r="CO71" s="290"/>
    </row>
    <row r="72" spans="1:93" s="122" customFormat="1" ht="13.2" customHeight="1">
      <c r="B72" s="290"/>
      <c r="C72" s="290"/>
      <c r="D72" s="290"/>
      <c r="E72" s="290"/>
      <c r="F72" s="290"/>
      <c r="G72" s="290"/>
      <c r="H72" s="290"/>
      <c r="I72" s="290"/>
      <c r="J72" s="290"/>
      <c r="K72" s="290"/>
      <c r="L72" s="290"/>
      <c r="M72" s="290"/>
      <c r="N72" s="290"/>
      <c r="O72" s="290"/>
      <c r="P72" s="290"/>
      <c r="Q72" s="290"/>
      <c r="R72" s="290"/>
      <c r="AV72" s="290"/>
      <c r="AW72" s="290"/>
      <c r="AX72" s="290"/>
      <c r="CM72" s="290"/>
      <c r="CN72" s="290"/>
      <c r="CO72" s="290"/>
    </row>
    <row r="73" spans="1:93" s="122" customFormat="1" ht="13.2" customHeight="1">
      <c r="B73" s="290"/>
      <c r="C73" s="290"/>
      <c r="D73" s="290"/>
      <c r="E73" s="290"/>
      <c r="F73" s="290"/>
      <c r="G73" s="290"/>
      <c r="H73" s="290"/>
      <c r="I73" s="290"/>
      <c r="J73" s="290"/>
      <c r="K73" s="290"/>
      <c r="L73" s="290"/>
      <c r="M73" s="290"/>
      <c r="N73" s="290"/>
      <c r="O73" s="290"/>
      <c r="P73" s="290"/>
      <c r="Q73" s="290"/>
      <c r="R73" s="290"/>
      <c r="AV73" s="290"/>
      <c r="AW73" s="290"/>
      <c r="AX73" s="290"/>
      <c r="CM73" s="290"/>
      <c r="CN73" s="290"/>
      <c r="CO73" s="290"/>
    </row>
    <row r="74" spans="1:93" s="122" customFormat="1" ht="13.2" customHeight="1">
      <c r="B74" s="290"/>
      <c r="C74" s="290"/>
      <c r="D74" s="290"/>
      <c r="E74" s="290"/>
      <c r="F74" s="290"/>
      <c r="G74" s="290"/>
      <c r="H74" s="290"/>
      <c r="I74" s="290"/>
      <c r="J74" s="290"/>
      <c r="K74" s="290"/>
      <c r="L74" s="290"/>
      <c r="M74" s="290"/>
      <c r="N74" s="290"/>
      <c r="O74" s="290"/>
      <c r="P74" s="290"/>
      <c r="Q74" s="290"/>
      <c r="R74" s="290"/>
      <c r="AV74" s="290"/>
      <c r="AW74" s="290"/>
      <c r="AX74" s="290"/>
      <c r="CM74" s="290"/>
      <c r="CN74" s="290"/>
      <c r="CO74" s="290"/>
    </row>
    <row r="75" spans="1:93" s="122" customFormat="1" ht="13.2" customHeight="1">
      <c r="B75" s="290"/>
      <c r="C75" s="290"/>
      <c r="D75" s="290"/>
      <c r="E75" s="290"/>
      <c r="F75" s="290"/>
      <c r="G75" s="290"/>
      <c r="H75" s="290"/>
      <c r="I75" s="290"/>
      <c r="J75" s="290"/>
      <c r="K75" s="290"/>
      <c r="L75" s="290"/>
      <c r="M75" s="290"/>
      <c r="N75" s="290"/>
      <c r="O75" s="290"/>
      <c r="P75" s="290"/>
      <c r="Q75" s="290"/>
      <c r="R75" s="290"/>
      <c r="AV75" s="290"/>
      <c r="AW75" s="290"/>
      <c r="AX75" s="290"/>
      <c r="CM75" s="290"/>
      <c r="CN75" s="290"/>
      <c r="CO75" s="290"/>
    </row>
    <row r="76" spans="1:93" s="122" customFormat="1" ht="13.2" customHeight="1">
      <c r="O76" s="291"/>
      <c r="P76" s="291"/>
      <c r="Q76" s="291"/>
      <c r="R76" s="291"/>
      <c r="AV76" s="290"/>
      <c r="AW76" s="290"/>
      <c r="AX76" s="290"/>
      <c r="CM76" s="290"/>
      <c r="CN76" s="290"/>
      <c r="CO76" s="290"/>
    </row>
    <row r="77" spans="1:93" s="122" customFormat="1" ht="13.2" customHeight="1">
      <c r="O77" s="291"/>
      <c r="P77" s="291"/>
      <c r="Q77" s="291"/>
      <c r="R77" s="291"/>
      <c r="CM77" s="290"/>
      <c r="CN77" s="290"/>
      <c r="CO77" s="290"/>
    </row>
    <row r="78" spans="1:93" s="122" customFormat="1" ht="13.2" customHeight="1">
      <c r="O78" s="291"/>
      <c r="P78" s="291"/>
      <c r="Q78" s="291"/>
      <c r="R78" s="291"/>
      <c r="CM78" s="290"/>
      <c r="CN78" s="290"/>
      <c r="CO78" s="290"/>
    </row>
    <row r="79" spans="1:93" s="122" customFormat="1" ht="13.2" customHeight="1">
      <c r="O79" s="291"/>
      <c r="P79" s="291"/>
      <c r="Q79" s="291"/>
      <c r="R79" s="291"/>
      <c r="CM79" s="290"/>
      <c r="CN79" s="290"/>
      <c r="CO79" s="290"/>
    </row>
    <row r="80" spans="1:93" s="122" customFormat="1" ht="13.2" customHeight="1">
      <c r="O80" s="291"/>
      <c r="P80" s="291"/>
      <c r="Q80" s="291"/>
      <c r="R80" s="291"/>
    </row>
    <row r="81" spans="15:18" s="122" customFormat="1" ht="13.2" customHeight="1">
      <c r="O81" s="291"/>
      <c r="P81" s="291"/>
      <c r="Q81" s="291"/>
      <c r="R81" s="291"/>
    </row>
    <row r="82" spans="15:18" s="122" customFormat="1" ht="13.2" customHeight="1">
      <c r="O82" s="291"/>
      <c r="P82" s="291"/>
      <c r="Q82" s="291"/>
      <c r="R82" s="291"/>
    </row>
    <row r="83" spans="15:18" s="122" customFormat="1" ht="13.2" customHeight="1">
      <c r="O83" s="291"/>
      <c r="P83" s="291"/>
      <c r="Q83" s="291"/>
      <c r="R83" s="291"/>
    </row>
    <row r="84" spans="15:18" s="122" customFormat="1" ht="13.2" customHeight="1">
      <c r="O84" s="291"/>
      <c r="P84" s="291"/>
      <c r="Q84" s="291"/>
      <c r="R84" s="291"/>
    </row>
    <row r="85" spans="15:18" s="122" customFormat="1" ht="13.2" customHeight="1">
      <c r="O85" s="291"/>
      <c r="P85" s="291"/>
      <c r="Q85" s="291"/>
      <c r="R85" s="291"/>
    </row>
    <row r="86" spans="15:18" s="122" customFormat="1" ht="13.2" customHeight="1">
      <c r="O86" s="291"/>
      <c r="P86" s="291"/>
      <c r="Q86" s="291"/>
      <c r="R86" s="291"/>
    </row>
    <row r="87" spans="15:18" s="122" customFormat="1" ht="13.2" customHeight="1">
      <c r="O87" s="291"/>
      <c r="P87" s="291"/>
      <c r="Q87" s="291"/>
      <c r="R87" s="291"/>
    </row>
    <row r="88" spans="15:18" s="122" customFormat="1" ht="13.2" customHeight="1">
      <c r="O88" s="291"/>
      <c r="P88" s="291"/>
      <c r="Q88" s="291"/>
      <c r="R88" s="291"/>
    </row>
    <row r="89" spans="15:18" s="122" customFormat="1" ht="13.2" customHeight="1">
      <c r="O89" s="291"/>
      <c r="P89" s="291"/>
      <c r="Q89" s="291"/>
      <c r="R89" s="291"/>
    </row>
    <row r="90" spans="15:18" s="122" customFormat="1" ht="13.2" customHeight="1">
      <c r="O90" s="291"/>
      <c r="P90" s="291"/>
      <c r="Q90" s="291"/>
      <c r="R90" s="291"/>
    </row>
    <row r="91" spans="15:18" s="122" customFormat="1" ht="13.2" customHeight="1">
      <c r="O91" s="291"/>
      <c r="P91" s="291"/>
      <c r="Q91" s="291"/>
      <c r="R91" s="291"/>
    </row>
    <row r="92" spans="15:18" s="122" customFormat="1" ht="13.2" customHeight="1">
      <c r="O92" s="291"/>
      <c r="P92" s="291"/>
      <c r="Q92" s="291"/>
      <c r="R92" s="291"/>
    </row>
    <row r="93" spans="15:18" s="122" customFormat="1" ht="13.2" customHeight="1">
      <c r="O93" s="291"/>
      <c r="P93" s="291"/>
      <c r="Q93" s="291"/>
      <c r="R93" s="291"/>
    </row>
    <row r="94" spans="15:18" s="122" customFormat="1" ht="13.2" customHeight="1">
      <c r="O94" s="291"/>
      <c r="P94" s="291"/>
      <c r="Q94" s="291"/>
      <c r="R94" s="291"/>
    </row>
    <row r="95" spans="15:18" s="122" customFormat="1" ht="13.2" customHeight="1">
      <c r="O95" s="291"/>
      <c r="P95" s="291"/>
      <c r="Q95" s="291"/>
      <c r="R95" s="291"/>
    </row>
    <row r="96" spans="15:18" s="122" customFormat="1" ht="13.2" customHeight="1">
      <c r="O96" s="291"/>
      <c r="P96" s="291"/>
      <c r="Q96" s="291"/>
      <c r="R96" s="291"/>
    </row>
    <row r="97" spans="15:18" s="122" customFormat="1" ht="13.2" customHeight="1">
      <c r="O97" s="291"/>
      <c r="P97" s="291"/>
      <c r="Q97" s="291"/>
      <c r="R97" s="291"/>
    </row>
    <row r="98" spans="15:18" s="122" customFormat="1" ht="13.2" customHeight="1">
      <c r="O98" s="291"/>
      <c r="P98" s="291"/>
      <c r="Q98" s="291"/>
      <c r="R98" s="291"/>
    </row>
    <row r="99" spans="15:18" s="122" customFormat="1" ht="13.2" customHeight="1">
      <c r="O99" s="291"/>
      <c r="P99" s="291"/>
      <c r="Q99" s="291"/>
      <c r="R99" s="291"/>
    </row>
    <row r="100" spans="15:18" s="122" customFormat="1" ht="13.2" customHeight="1">
      <c r="O100" s="291"/>
      <c r="P100" s="291"/>
      <c r="Q100" s="291"/>
      <c r="R100" s="291"/>
    </row>
    <row r="101" spans="15:18" s="122" customFormat="1" ht="13.2" customHeight="1">
      <c r="O101" s="291"/>
      <c r="P101" s="291"/>
      <c r="Q101" s="291"/>
      <c r="R101" s="291"/>
    </row>
    <row r="102" spans="15:18" s="122" customFormat="1" ht="13.2" customHeight="1">
      <c r="O102" s="291"/>
      <c r="P102" s="291"/>
      <c r="Q102" s="291"/>
      <c r="R102" s="291"/>
    </row>
    <row r="103" spans="15:18" s="122" customFormat="1" ht="13.2" customHeight="1">
      <c r="O103" s="291"/>
      <c r="P103" s="291"/>
      <c r="Q103" s="291"/>
      <c r="R103" s="291"/>
    </row>
    <row r="104" spans="15:18" s="122" customFormat="1" ht="13.2" customHeight="1">
      <c r="O104" s="291"/>
      <c r="P104" s="291"/>
      <c r="Q104" s="291"/>
      <c r="R104" s="291"/>
    </row>
    <row r="105" spans="15:18" s="122" customFormat="1" ht="13.2" customHeight="1">
      <c r="O105" s="291"/>
      <c r="P105" s="291"/>
      <c r="Q105" s="291"/>
      <c r="R105" s="291"/>
    </row>
    <row r="106" spans="15:18" s="122" customFormat="1" ht="13.2" customHeight="1">
      <c r="O106" s="291"/>
      <c r="P106" s="291"/>
      <c r="Q106" s="291"/>
      <c r="R106" s="291"/>
    </row>
    <row r="107" spans="15:18" s="122" customFormat="1" ht="13.2" customHeight="1">
      <c r="O107" s="291"/>
      <c r="P107" s="291"/>
      <c r="Q107" s="291"/>
      <c r="R107" s="291"/>
    </row>
    <row r="108" spans="15:18" s="122" customFormat="1" ht="13.2" customHeight="1">
      <c r="O108" s="291"/>
      <c r="P108" s="291"/>
      <c r="Q108" s="291"/>
      <c r="R108" s="291"/>
    </row>
    <row r="109" spans="15:18" s="122" customFormat="1" ht="13.2" customHeight="1">
      <c r="O109" s="291"/>
      <c r="P109" s="291"/>
      <c r="Q109" s="291"/>
      <c r="R109" s="291"/>
    </row>
    <row r="110" spans="15:18" s="122" customFormat="1" ht="13.2" customHeight="1">
      <c r="O110" s="291"/>
      <c r="P110" s="291"/>
      <c r="Q110" s="291"/>
      <c r="R110" s="291"/>
    </row>
    <row r="111" spans="15:18" s="122" customFormat="1" ht="13.2" customHeight="1">
      <c r="O111" s="291"/>
      <c r="P111" s="291"/>
      <c r="Q111" s="291"/>
      <c r="R111" s="291"/>
    </row>
    <row r="112" spans="15:18" s="122" customFormat="1" ht="13.2" customHeight="1">
      <c r="O112" s="291"/>
      <c r="P112" s="291"/>
      <c r="Q112" s="291"/>
      <c r="R112" s="291"/>
    </row>
    <row r="113" spans="15:18" s="122" customFormat="1" ht="13.2" customHeight="1">
      <c r="O113" s="291"/>
      <c r="P113" s="291"/>
      <c r="Q113" s="291"/>
      <c r="R113" s="291"/>
    </row>
    <row r="114" spans="15:18" s="122" customFormat="1" ht="13.2" customHeight="1">
      <c r="O114" s="291"/>
      <c r="P114" s="291"/>
      <c r="Q114" s="291"/>
      <c r="R114" s="291"/>
    </row>
    <row r="115" spans="15:18" s="122" customFormat="1" ht="13.2" customHeight="1">
      <c r="O115" s="291"/>
      <c r="P115" s="291"/>
      <c r="Q115" s="291"/>
      <c r="R115" s="291"/>
    </row>
    <row r="116" spans="15:18" s="122" customFormat="1" ht="13.2" customHeight="1">
      <c r="O116" s="291"/>
      <c r="P116" s="291"/>
      <c r="Q116" s="291"/>
      <c r="R116" s="291"/>
    </row>
    <row r="117" spans="15:18" s="122" customFormat="1" ht="13.2" customHeight="1">
      <c r="O117" s="291"/>
      <c r="P117" s="291"/>
      <c r="Q117" s="291"/>
      <c r="R117" s="291"/>
    </row>
    <row r="118" spans="15:18" s="122" customFormat="1" ht="13.2" customHeight="1">
      <c r="O118" s="291"/>
      <c r="P118" s="291"/>
      <c r="Q118" s="291"/>
      <c r="R118" s="291"/>
    </row>
    <row r="119" spans="15:18" s="122" customFormat="1" ht="13.2" customHeight="1">
      <c r="O119" s="291"/>
      <c r="P119" s="291"/>
      <c r="Q119" s="291"/>
      <c r="R119" s="291"/>
    </row>
    <row r="120" spans="15:18" s="122" customFormat="1" ht="13.2" customHeight="1">
      <c r="O120" s="291"/>
      <c r="P120" s="291"/>
      <c r="Q120" s="291"/>
      <c r="R120" s="291"/>
    </row>
    <row r="121" spans="15:18" s="122" customFormat="1" ht="13.2" customHeight="1">
      <c r="O121" s="291"/>
      <c r="P121" s="291"/>
      <c r="Q121" s="291"/>
      <c r="R121" s="291"/>
    </row>
    <row r="122" spans="15:18" s="122" customFormat="1" ht="13.2" customHeight="1">
      <c r="O122" s="291"/>
      <c r="P122" s="291"/>
      <c r="Q122" s="291"/>
      <c r="R122" s="291"/>
    </row>
    <row r="123" spans="15:18" s="122" customFormat="1" ht="13.2" customHeight="1">
      <c r="O123" s="291"/>
      <c r="P123" s="291"/>
      <c r="Q123" s="291"/>
      <c r="R123" s="291"/>
    </row>
    <row r="124" spans="15:18" s="122" customFormat="1" ht="13.2" customHeight="1">
      <c r="O124" s="291"/>
      <c r="P124" s="291"/>
      <c r="Q124" s="291"/>
      <c r="R124" s="291"/>
    </row>
    <row r="125" spans="15:18" s="122" customFormat="1" ht="13.2" customHeight="1">
      <c r="O125" s="291"/>
      <c r="P125" s="291"/>
      <c r="Q125" s="291"/>
      <c r="R125" s="291"/>
    </row>
    <row r="126" spans="15:18" s="122" customFormat="1" ht="13.2" customHeight="1">
      <c r="O126" s="291"/>
      <c r="P126" s="291"/>
      <c r="Q126" s="291"/>
      <c r="R126" s="291"/>
    </row>
    <row r="127" spans="15:18" s="122" customFormat="1" ht="13.2" customHeight="1">
      <c r="O127" s="291"/>
      <c r="P127" s="291"/>
      <c r="Q127" s="291"/>
      <c r="R127" s="291"/>
    </row>
    <row r="128" spans="15:18" s="122" customFormat="1" ht="13.2" customHeight="1">
      <c r="O128" s="291"/>
      <c r="P128" s="291"/>
      <c r="Q128" s="291"/>
      <c r="R128" s="291"/>
    </row>
    <row r="129" spans="15:84" s="122" customFormat="1" ht="13.2" customHeight="1">
      <c r="O129" s="291"/>
      <c r="P129" s="291"/>
      <c r="Q129" s="291"/>
      <c r="R129" s="291"/>
    </row>
    <row r="130" spans="15:84" s="122" customFormat="1" ht="13.2" customHeight="1">
      <c r="O130" s="291"/>
      <c r="P130" s="291"/>
      <c r="Q130" s="291"/>
      <c r="R130" s="291"/>
    </row>
    <row r="131" spans="15:84" s="122" customFormat="1" ht="13.2" customHeight="1">
      <c r="O131" s="291"/>
      <c r="P131" s="291"/>
      <c r="Q131" s="291"/>
      <c r="R131" s="291"/>
    </row>
    <row r="132" spans="15:84" s="122" customFormat="1" ht="13.2" customHeight="1">
      <c r="O132" s="291"/>
      <c r="P132" s="291"/>
      <c r="Q132" s="291"/>
      <c r="R132" s="291"/>
    </row>
    <row r="133" spans="15:84" s="122" customFormat="1" ht="13.2" customHeight="1">
      <c r="O133" s="291"/>
      <c r="P133" s="291"/>
      <c r="Q133" s="291"/>
      <c r="R133" s="291"/>
    </row>
    <row r="134" spans="15:84" s="122" customFormat="1" ht="13.2" customHeight="1">
      <c r="O134" s="291"/>
      <c r="P134" s="291"/>
      <c r="Q134" s="291"/>
      <c r="R134" s="291"/>
    </row>
    <row r="135" spans="15:84" s="122" customFormat="1" ht="13.2" customHeight="1">
      <c r="O135" s="291"/>
      <c r="P135" s="291"/>
      <c r="Q135" s="291"/>
      <c r="R135" s="291"/>
    </row>
    <row r="136" spans="15:84" s="122" customFormat="1" ht="13.2" customHeight="1">
      <c r="O136" s="291"/>
      <c r="P136" s="291"/>
      <c r="Q136" s="291"/>
      <c r="R136" s="291"/>
    </row>
    <row r="137" spans="15:84" s="122" customFormat="1" ht="13.2" customHeight="1">
      <c r="O137" s="291"/>
      <c r="P137" s="291"/>
      <c r="Q137" s="291"/>
      <c r="R137" s="291"/>
    </row>
    <row r="138" spans="15:84" s="122" customFormat="1" ht="13.2" customHeight="1">
      <c r="O138" s="291"/>
      <c r="P138" s="291"/>
      <c r="Q138" s="291"/>
      <c r="R138" s="291"/>
    </row>
    <row r="139" spans="15:84" s="122" customFormat="1" ht="13.2" customHeight="1">
      <c r="O139" s="291"/>
      <c r="P139" s="291"/>
      <c r="Q139" s="291"/>
      <c r="R139" s="291"/>
    </row>
    <row r="140" spans="15:84" s="122" customFormat="1" ht="13.2" customHeight="1">
      <c r="O140" s="291"/>
      <c r="P140" s="291"/>
      <c r="Q140" s="291"/>
      <c r="R140" s="291"/>
    </row>
    <row r="141" spans="15:84" s="122" customFormat="1" ht="13.2" customHeight="1">
      <c r="O141" s="291"/>
      <c r="P141" s="291"/>
      <c r="Q141" s="291"/>
      <c r="R141" s="291"/>
    </row>
    <row r="142" spans="15:84" s="122" customFormat="1" ht="13.2" customHeight="1">
      <c r="O142" s="291"/>
      <c r="P142" s="291"/>
      <c r="Q142" s="291"/>
      <c r="R142" s="291"/>
    </row>
    <row r="143" spans="15:84" s="122" customFormat="1" ht="13.2" customHeight="1">
      <c r="O143" s="291"/>
      <c r="P143" s="291"/>
      <c r="Q143" s="291"/>
      <c r="R143" s="291"/>
    </row>
    <row r="144" spans="15:84" s="122" customFormat="1" ht="13.2" customHeight="1">
      <c r="O144" s="291"/>
      <c r="P144" s="291"/>
      <c r="Q144" s="291"/>
      <c r="R144" s="291"/>
      <c r="BM144" s="121"/>
      <c r="BN144" s="121"/>
      <c r="BO144" s="121"/>
      <c r="BP144" s="121"/>
      <c r="BQ144" s="121"/>
      <c r="BR144" s="121"/>
      <c r="BS144" s="121"/>
      <c r="BT144" s="121"/>
      <c r="BU144" s="121"/>
      <c r="BV144" s="121"/>
      <c r="BW144" s="121"/>
      <c r="BX144" s="121"/>
      <c r="BY144" s="121"/>
      <c r="BZ144" s="121"/>
      <c r="CA144" s="121"/>
      <c r="CB144" s="121"/>
      <c r="CC144" s="121"/>
      <c r="CD144" s="121"/>
      <c r="CE144" s="121"/>
      <c r="CF144" s="121"/>
    </row>
    <row r="145" spans="2:64" ht="13.2" customHeight="1">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row>
  </sheetData>
  <sheetProtection algorithmName="SHA-512" hashValue="xnt+y1n6xBt+1ScqcYqmfxquTBKoqViA9XAyiIsC8oz67eaMu/onZ1wcGL//f2QfoYOFq1G263D+6jiLszAtuA==" saltValue="dPP+e+LLMjxYWfFAK7YnTA==" spinCount="100000" sheet="1" selectLockedCells="1"/>
  <mergeCells count="318">
    <mergeCell ref="BO33:BP33"/>
    <mergeCell ref="BO35:BP35"/>
    <mergeCell ref="BO34:BP34"/>
    <mergeCell ref="AH34:AJ34"/>
    <mergeCell ref="BO25:BP25"/>
    <mergeCell ref="BC32:BE32"/>
    <mergeCell ref="BC31:BE31"/>
    <mergeCell ref="BO26:BP26"/>
    <mergeCell ref="AO25:AP25"/>
    <mergeCell ref="BH33:BJ33"/>
    <mergeCell ref="AH33:AJ33"/>
    <mergeCell ref="AK33:AN33"/>
    <mergeCell ref="AM32:AN32"/>
    <mergeCell ref="BA33:BC33"/>
    <mergeCell ref="BA34:BC34"/>
    <mergeCell ref="AG25:AJ25"/>
    <mergeCell ref="AK25:AN25"/>
    <mergeCell ref="BH35:BJ35"/>
    <mergeCell ref="BO30:BP30"/>
    <mergeCell ref="BO31:BP31"/>
    <mergeCell ref="BO32:BP32"/>
    <mergeCell ref="BA36:BC36"/>
    <mergeCell ref="AG27:AH27"/>
    <mergeCell ref="BA35:BC35"/>
    <mergeCell ref="BH31:BJ31"/>
    <mergeCell ref="BH32:BJ32"/>
    <mergeCell ref="BI29:BJ29"/>
    <mergeCell ref="BA3:BL9"/>
    <mergeCell ref="BA10:BL12"/>
    <mergeCell ref="BH26:BJ26"/>
    <mergeCell ref="BA14:BD14"/>
    <mergeCell ref="BE14:BG14"/>
    <mergeCell ref="BH14:BJ14"/>
    <mergeCell ref="BB15:BF15"/>
    <mergeCell ref="AP8:AQ8"/>
    <mergeCell ref="AR3:AX3"/>
    <mergeCell ref="AI4:AN4"/>
    <mergeCell ref="BH36:BJ36"/>
    <mergeCell ref="BH30:BJ30"/>
    <mergeCell ref="AP7:AQ7"/>
    <mergeCell ref="AM7:AN7"/>
    <mergeCell ref="AL22:AN22"/>
    <mergeCell ref="AD18:AH18"/>
    <mergeCell ref="AD36:AE36"/>
    <mergeCell ref="AE19:AF19"/>
    <mergeCell ref="BO2:BS6"/>
    <mergeCell ref="BF20:BH20"/>
    <mergeCell ref="BB21:BF21"/>
    <mergeCell ref="BC22:BE22"/>
    <mergeCell ref="BF22:BH22"/>
    <mergeCell ref="BC23:BF23"/>
    <mergeCell ref="BF28:BG28"/>
    <mergeCell ref="V26:W26"/>
    <mergeCell ref="AR6:AX9"/>
    <mergeCell ref="AD10:AE10"/>
    <mergeCell ref="AE25:AF25"/>
    <mergeCell ref="AP23:AQ23"/>
    <mergeCell ref="AB24:AC24"/>
    <mergeCell ref="AD24:AH24"/>
    <mergeCell ref="AJ24:AK24"/>
    <mergeCell ref="AM24:AN24"/>
    <mergeCell ref="AP24:AQ24"/>
    <mergeCell ref="AJ23:AK23"/>
    <mergeCell ref="AM23:AN23"/>
    <mergeCell ref="V20:W20"/>
    <mergeCell ref="V21:Z21"/>
    <mergeCell ref="AA21:AB21"/>
    <mergeCell ref="AR1:AX2"/>
    <mergeCell ref="AR4:AX4"/>
    <mergeCell ref="AP1:AQ1"/>
    <mergeCell ref="AG21:AL21"/>
    <mergeCell ref="AI16:AK16"/>
    <mergeCell ref="AL16:AN16"/>
    <mergeCell ref="AG15:AL15"/>
    <mergeCell ref="AM8:AN8"/>
    <mergeCell ref="AE1:AF2"/>
    <mergeCell ref="AG1:AL2"/>
    <mergeCell ref="E4:M4"/>
    <mergeCell ref="F8:I8"/>
    <mergeCell ref="Y3:Z4"/>
    <mergeCell ref="AD11:AE11"/>
    <mergeCell ref="F11:G11"/>
    <mergeCell ref="N13:O13"/>
    <mergeCell ref="H13:I13"/>
    <mergeCell ref="A15:H16"/>
    <mergeCell ref="O15:P15"/>
    <mergeCell ref="O17:P17"/>
    <mergeCell ref="AP18:AQ18"/>
    <mergeCell ref="AO16:AQ16"/>
    <mergeCell ref="AP17:AQ17"/>
    <mergeCell ref="AO19:AP19"/>
    <mergeCell ref="AD17:AH17"/>
    <mergeCell ref="AA17:AC17"/>
    <mergeCell ref="A5:B5"/>
    <mergeCell ref="U5:V5"/>
    <mergeCell ref="AD7:AE7"/>
    <mergeCell ref="P4:X4"/>
    <mergeCell ref="AA3:AD4"/>
    <mergeCell ref="AD8:AE8"/>
    <mergeCell ref="AI3:AN3"/>
    <mergeCell ref="P9:S9"/>
    <mergeCell ref="P10:S10"/>
    <mergeCell ref="J9:K9"/>
    <mergeCell ref="F10:G10"/>
    <mergeCell ref="H10:I10"/>
    <mergeCell ref="L10:M10"/>
    <mergeCell ref="N10:O10"/>
    <mergeCell ref="G6:H6"/>
    <mergeCell ref="J10:K10"/>
    <mergeCell ref="F9:G9"/>
    <mergeCell ref="A1:X3"/>
    <mergeCell ref="D10:E10"/>
    <mergeCell ref="H9:I9"/>
    <mergeCell ref="CP2:CP5"/>
    <mergeCell ref="CR3:CT3"/>
    <mergeCell ref="CR6:CT6"/>
    <mergeCell ref="CN8:CN13"/>
    <mergeCell ref="BU14:BY14"/>
    <mergeCell ref="CD14:CH14"/>
    <mergeCell ref="CM14:CQ14"/>
    <mergeCell ref="BU2:BW3"/>
    <mergeCell ref="BU4:BU6"/>
    <mergeCell ref="CD2:CF3"/>
    <mergeCell ref="CD4:CD6"/>
    <mergeCell ref="CM2:CO3"/>
    <mergeCell ref="CM4:CM6"/>
    <mergeCell ref="BV8:BV13"/>
    <mergeCell ref="CE8:CE13"/>
    <mergeCell ref="CG2:CG5"/>
    <mergeCell ref="CI3:CK3"/>
    <mergeCell ref="CI6:CK6"/>
    <mergeCell ref="BX2:BX5"/>
    <mergeCell ref="BZ3:CB3"/>
    <mergeCell ref="BZ6:CB6"/>
    <mergeCell ref="A11:C11"/>
    <mergeCell ref="L9:M9"/>
    <mergeCell ref="N9:O9"/>
    <mergeCell ref="A8:E9"/>
    <mergeCell ref="J8:S8"/>
    <mergeCell ref="L13:M13"/>
    <mergeCell ref="H12:I12"/>
    <mergeCell ref="H11:I11"/>
    <mergeCell ref="J12:K12"/>
    <mergeCell ref="L12:M12"/>
    <mergeCell ref="D11:E11"/>
    <mergeCell ref="D12:E12"/>
    <mergeCell ref="Q13:R13"/>
    <mergeCell ref="Q11:R11"/>
    <mergeCell ref="N12:O12"/>
    <mergeCell ref="J11:K11"/>
    <mergeCell ref="Q12:R12"/>
    <mergeCell ref="A13:C13"/>
    <mergeCell ref="N11:O11"/>
    <mergeCell ref="F13:G13"/>
    <mergeCell ref="D13:E13"/>
    <mergeCell ref="L11:M11"/>
    <mergeCell ref="F12:G12"/>
    <mergeCell ref="A12:C12"/>
    <mergeCell ref="BX19:BY20"/>
    <mergeCell ref="BO18:BQ18"/>
    <mergeCell ref="BR18:BS18"/>
    <mergeCell ref="BO14:BS15"/>
    <mergeCell ref="BO17:BS17"/>
    <mergeCell ref="AO22:AQ22"/>
    <mergeCell ref="AC15:AD15"/>
    <mergeCell ref="V15:Z15"/>
    <mergeCell ref="R15:S15"/>
    <mergeCell ref="AK19:AN19"/>
    <mergeCell ref="BU17:CB18"/>
    <mergeCell ref="BU22:CA23"/>
    <mergeCell ref="BZ19:CA20"/>
    <mergeCell ref="R16:S16"/>
    <mergeCell ref="Q14:R14"/>
    <mergeCell ref="AE15:AF15"/>
    <mergeCell ref="V16:AD16"/>
    <mergeCell ref="AA15:AB15"/>
    <mergeCell ref="U14:V14"/>
    <mergeCell ref="AC21:AD21"/>
    <mergeCell ref="AE21:AF21"/>
    <mergeCell ref="BE17:BG17"/>
    <mergeCell ref="BH17:BJ17"/>
    <mergeCell ref="BA20:BE20"/>
    <mergeCell ref="J13:K13"/>
    <mergeCell ref="K15:M18"/>
    <mergeCell ref="O16:P16"/>
    <mergeCell ref="A20:B20"/>
    <mergeCell ref="D18:E18"/>
    <mergeCell ref="D17:E17"/>
    <mergeCell ref="N16:N18"/>
    <mergeCell ref="K48:L48"/>
    <mergeCell ref="Q42:R42"/>
    <mergeCell ref="L24:M24"/>
    <mergeCell ref="D30:O30"/>
    <mergeCell ref="R30:S30"/>
    <mergeCell ref="P27:Q27"/>
    <mergeCell ref="R27:S27"/>
    <mergeCell ref="M42:N42"/>
    <mergeCell ref="M43:N43"/>
    <mergeCell ref="O42:P42"/>
    <mergeCell ref="P26:Q26"/>
    <mergeCell ref="Q43:R43"/>
    <mergeCell ref="A33:S37"/>
    <mergeCell ref="F44:F49"/>
    <mergeCell ref="O43:P43"/>
    <mergeCell ref="O50:P50"/>
    <mergeCell ref="K50:L50"/>
    <mergeCell ref="U47:V47"/>
    <mergeCell ref="U43:V43"/>
    <mergeCell ref="K45:L45"/>
    <mergeCell ref="S43:T43"/>
    <mergeCell ref="W43:X43"/>
    <mergeCell ref="U17:W17"/>
    <mergeCell ref="S42:T42"/>
    <mergeCell ref="U35:Y36"/>
    <mergeCell ref="U42:V42"/>
    <mergeCell ref="W42:X42"/>
    <mergeCell ref="Y44:Z44"/>
    <mergeCell ref="Y43:Z43"/>
    <mergeCell ref="V22:AD22"/>
    <mergeCell ref="AD23:AH23"/>
    <mergeCell ref="U23:W23"/>
    <mergeCell ref="U29:V29"/>
    <mergeCell ref="V34:AG34"/>
    <mergeCell ref="Q51:R51"/>
    <mergeCell ref="S50:T50"/>
    <mergeCell ref="U51:V51"/>
    <mergeCell ref="W50:X50"/>
    <mergeCell ref="O44:P44"/>
    <mergeCell ref="O45:P45"/>
    <mergeCell ref="M48:N48"/>
    <mergeCell ref="M44:N44"/>
    <mergeCell ref="M47:N47"/>
    <mergeCell ref="M51:N51"/>
    <mergeCell ref="M49:N49"/>
    <mergeCell ref="M45:N45"/>
    <mergeCell ref="M50:N50"/>
    <mergeCell ref="U48:V48"/>
    <mergeCell ref="Q47:R47"/>
    <mergeCell ref="Q48:R48"/>
    <mergeCell ref="S45:T45"/>
    <mergeCell ref="W45:X45"/>
    <mergeCell ref="W44:X44"/>
    <mergeCell ref="S44:T44"/>
    <mergeCell ref="AG50:AH50"/>
    <mergeCell ref="AE48:AF48"/>
    <mergeCell ref="Y50:Z50"/>
    <mergeCell ref="AC42:AD42"/>
    <mergeCell ref="AG43:AH43"/>
    <mergeCell ref="AG42:AH42"/>
    <mergeCell ref="Y42:Z42"/>
    <mergeCell ref="AE51:AF51"/>
    <mergeCell ref="AA48:AB48"/>
    <mergeCell ref="AG44:AH44"/>
    <mergeCell ref="AA51:AB51"/>
    <mergeCell ref="Y45:Z45"/>
    <mergeCell ref="AA42:AB42"/>
    <mergeCell ref="AE42:AF42"/>
    <mergeCell ref="AE47:AF47"/>
    <mergeCell ref="AA43:AB43"/>
    <mergeCell ref="AC50:AD50"/>
    <mergeCell ref="AA47:AB47"/>
    <mergeCell ref="AC44:AD44"/>
    <mergeCell ref="AC45:AD45"/>
    <mergeCell ref="AC43:AD43"/>
    <mergeCell ref="AE43:AF43"/>
    <mergeCell ref="AG45:AH45"/>
    <mergeCell ref="AI44:AJ44"/>
    <mergeCell ref="AI42:AJ42"/>
    <mergeCell ref="AI45:AJ45"/>
    <mergeCell ref="AI43:AJ43"/>
    <mergeCell ref="AM31:AN31"/>
    <mergeCell ref="AM42:AN42"/>
    <mergeCell ref="AM37:AN37"/>
    <mergeCell ref="AK42:AL42"/>
    <mergeCell ref="AM36:AN36"/>
    <mergeCell ref="AM44:AN44"/>
    <mergeCell ref="AM45:AN45"/>
    <mergeCell ref="AM43:AN43"/>
    <mergeCell ref="AK43:AL43"/>
    <mergeCell ref="AQ51:AR51"/>
    <mergeCell ref="AM9:AN9"/>
    <mergeCell ref="AP9:AQ9"/>
    <mergeCell ref="AO51:AP51"/>
    <mergeCell ref="AK48:AL48"/>
    <mergeCell ref="AO42:AP42"/>
    <mergeCell ref="AO43:AP43"/>
    <mergeCell ref="BB18:BF18"/>
    <mergeCell ref="AM50:AN50"/>
    <mergeCell ref="AM17:AN17"/>
    <mergeCell ref="AM18:AN18"/>
    <mergeCell ref="AJ17:AK17"/>
    <mergeCell ref="AJ18:AK18"/>
    <mergeCell ref="AQ44:AR45"/>
    <mergeCell ref="AO48:AP48"/>
    <mergeCell ref="AO47:AP47"/>
    <mergeCell ref="AQ47:AR48"/>
    <mergeCell ref="AK47:AL47"/>
    <mergeCell ref="AI50:AJ50"/>
    <mergeCell ref="AK51:AL51"/>
    <mergeCell ref="BA37:BC37"/>
    <mergeCell ref="BA38:BC38"/>
    <mergeCell ref="BC28:BD28"/>
    <mergeCell ref="BB17:BD17"/>
    <mergeCell ref="AG19:AJ19"/>
    <mergeCell ref="R17:S17"/>
    <mergeCell ref="O18:P18"/>
    <mergeCell ref="G26:K27"/>
    <mergeCell ref="P30:Q30"/>
    <mergeCell ref="I23:J23"/>
    <mergeCell ref="P25:Q25"/>
    <mergeCell ref="P28:Q28"/>
    <mergeCell ref="P29:Q29"/>
    <mergeCell ref="R18:S18"/>
    <mergeCell ref="AB18:AC18"/>
    <mergeCell ref="I22:J22"/>
    <mergeCell ref="G21:O21"/>
    <mergeCell ref="AI22:AK22"/>
    <mergeCell ref="AA23:AC23"/>
  </mergeCells>
  <conditionalFormatting sqref="AD10 AD8:AE8">
    <cfRule type="expression" dxfId="133" priority="337">
      <formula>$AD$10&gt;$AD$8</formula>
    </cfRule>
  </conditionalFormatting>
  <conditionalFormatting sqref="Q13">
    <cfRule type="cellIs" dxfId="132" priority="262" operator="equal">
      <formula>0</formula>
    </cfRule>
  </conditionalFormatting>
  <conditionalFormatting sqref="F13 H13:O13 Q13">
    <cfRule type="expression" dxfId="131" priority="2577">
      <formula>$A$13=""</formula>
    </cfRule>
  </conditionalFormatting>
  <conditionalFormatting sqref="F13:O13 Q13">
    <cfRule type="expression" dxfId="130" priority="2578">
      <formula>$A$13=""</formula>
    </cfRule>
  </conditionalFormatting>
  <conditionalFormatting sqref="D18:E18 BX19 AM32:AN32 I22:J22 BC32 AM36:AN37">
    <cfRule type="expression" dxfId="129" priority="2587">
      <formula>$D$17&gt;$D$18</formula>
    </cfRule>
  </conditionalFormatting>
  <conditionalFormatting sqref="D17:F17">
    <cfRule type="expression" dxfId="128" priority="2588">
      <formula>$D$18&lt;$D$17</formula>
    </cfRule>
  </conditionalFormatting>
  <conditionalFormatting sqref="R16:S17 O16:P17">
    <cfRule type="cellIs" dxfId="127" priority="143" operator="equal">
      <formula>0</formula>
    </cfRule>
  </conditionalFormatting>
  <conditionalFormatting sqref="AJ17:AK18 AJ23:AK24">
    <cfRule type="expression" dxfId="126" priority="135">
      <formula>$AJ$17&gt;$D$11</formula>
    </cfRule>
  </conditionalFormatting>
  <conditionalFormatting sqref="AM17:AN18 AP17:AQ18 AM23:AN24 AP23:AQ24">
    <cfRule type="expression" dxfId="125" priority="134">
      <formula>$AM$17&gt;$D$12</formula>
    </cfRule>
  </conditionalFormatting>
  <conditionalFormatting sqref="P13 S13">
    <cfRule type="expression" dxfId="124" priority="101">
      <formula>$A$13=""</formula>
    </cfRule>
  </conditionalFormatting>
  <conditionalFormatting sqref="D13:E13">
    <cfRule type="expression" dxfId="123" priority="82">
      <formula>$A$13=""</formula>
    </cfRule>
    <cfRule type="expression" dxfId="122" priority="100">
      <formula>$A$13=""</formula>
    </cfRule>
  </conditionalFormatting>
  <conditionalFormatting sqref="I23:J23">
    <cfRule type="expression" dxfId="121" priority="50">
      <formula>$I$23&gt;$AD$11</formula>
    </cfRule>
  </conditionalFormatting>
  <conditionalFormatting sqref="AC21:AD21">
    <cfRule type="expression" dxfId="120" priority="11">
      <formula>$AG$27&gt;0</formula>
    </cfRule>
    <cfRule type="cellIs" dxfId="119" priority="43" operator="equal">
      <formula>0</formula>
    </cfRule>
  </conditionalFormatting>
  <conditionalFormatting sqref="AI27">
    <cfRule type="expression" dxfId="118" priority="39">
      <formula>$AG$27=0</formula>
    </cfRule>
  </conditionalFormatting>
  <conditionalFormatting sqref="V20:X20">
    <cfRule type="expression" dxfId="117" priority="19">
      <formula>$V$20&gt;1</formula>
    </cfRule>
    <cfRule type="expression" dxfId="116" priority="38">
      <formula>$V$16=$BO$7</formula>
    </cfRule>
  </conditionalFormatting>
  <conditionalFormatting sqref="V26:W26">
    <cfRule type="expression" dxfId="115" priority="17">
      <formula>$V$26&gt;1</formula>
    </cfRule>
    <cfRule type="expression" dxfId="114" priority="27">
      <formula>$V$22=$BO$7</formula>
    </cfRule>
  </conditionalFormatting>
  <conditionalFormatting sqref="X26">
    <cfRule type="expression" dxfId="113" priority="16">
      <formula>$V$26&gt;1</formula>
    </cfRule>
    <cfRule type="expression" dxfId="112" priority="26">
      <formula>$V$22=$BO$7</formula>
    </cfRule>
    <cfRule type="expression" dxfId="111" priority="35">
      <formula>$V$20&gt;1</formula>
    </cfRule>
  </conditionalFormatting>
  <conditionalFormatting sqref="AJ18:AK18">
    <cfRule type="expression" dxfId="110" priority="24">
      <formula>$V$16=$BO$7</formula>
    </cfRule>
    <cfRule type="cellIs" dxfId="109" priority="34" operator="greaterThan">
      <formula>$AJ$17</formula>
    </cfRule>
  </conditionalFormatting>
  <conditionalFormatting sqref="AM18:AN18">
    <cfRule type="expression" dxfId="108" priority="23">
      <formula>$V$16=$BO$7</formula>
    </cfRule>
    <cfRule type="cellIs" dxfId="107" priority="33" operator="greaterThan">
      <formula>$AM$17</formula>
    </cfRule>
  </conditionalFormatting>
  <conditionalFormatting sqref="AP18:AQ18">
    <cfRule type="expression" dxfId="106" priority="30">
      <formula>$AO$16=""</formula>
    </cfRule>
    <cfRule type="cellIs" dxfId="105" priority="32" operator="greaterThan">
      <formula>$AP$17</formula>
    </cfRule>
  </conditionalFormatting>
  <conditionalFormatting sqref="AP17:AQ17">
    <cfRule type="expression" dxfId="104" priority="31">
      <formula>$AO$16=""</formula>
    </cfRule>
  </conditionalFormatting>
  <conditionalFormatting sqref="AP23:AQ23">
    <cfRule type="expression" dxfId="103" priority="29">
      <formula>$AO$22=""</formula>
    </cfRule>
  </conditionalFormatting>
  <conditionalFormatting sqref="AP24:AQ24">
    <cfRule type="expression" dxfId="102" priority="28">
      <formula>$AO$22=""</formula>
    </cfRule>
  </conditionalFormatting>
  <conditionalFormatting sqref="AJ24:AK24 AM24:AN24">
    <cfRule type="expression" dxfId="101" priority="21">
      <formula>$V$22=$BO$7</formula>
    </cfRule>
  </conditionalFormatting>
  <conditionalFormatting sqref="A22:S30">
    <cfRule type="expression" dxfId="100" priority="15">
      <formula>$G$21=""</formula>
    </cfRule>
  </conditionalFormatting>
  <conditionalFormatting sqref="U30:AQ32 U35:AC35 AF35:AH35 BH32 BC32 U36:AQ37 U33:U34 AL35:AQ35 U16:AQ16 U19:AQ20 U17 W18:X18 Z17:AQ18 X17">
    <cfRule type="expression" dxfId="99" priority="14">
      <formula>$AG$15=""</formula>
    </cfRule>
  </conditionalFormatting>
  <conditionalFormatting sqref="U26:AQ26 W25:AC25 AE25:AF25 U22:AQ22 U24:U25 W24:X24 Z23:AQ24 X23 AK25:AQ25">
    <cfRule type="expression" dxfId="98" priority="13">
      <formula>$AG$21=""</formula>
    </cfRule>
  </conditionalFormatting>
  <conditionalFormatting sqref="BC31">
    <cfRule type="expression" dxfId="97" priority="9">
      <formula>$AG$15=""</formula>
    </cfRule>
  </conditionalFormatting>
  <conditionalFormatting sqref="BC31">
    <cfRule type="expression" dxfId="96" priority="10">
      <formula>$D$17&gt;$D$18</formula>
    </cfRule>
  </conditionalFormatting>
  <conditionalFormatting sqref="AG27:AQ27">
    <cfRule type="expression" dxfId="95" priority="3211">
      <formula>$G$6&gt;$U$27</formula>
    </cfRule>
  </conditionalFormatting>
  <conditionalFormatting sqref="AG27:AH27">
    <cfRule type="cellIs" dxfId="94" priority="3212" operator="equal">
      <formula>0</formula>
    </cfRule>
    <cfRule type="expression" dxfId="93" priority="3213">
      <formula>$G$6&gt;$U$27</formula>
    </cfRule>
  </conditionalFormatting>
  <conditionalFormatting sqref="AH33:AJ33">
    <cfRule type="expression" dxfId="92" priority="8">
      <formula>$AG$21=""</formula>
    </cfRule>
  </conditionalFormatting>
  <conditionalFormatting sqref="AH37:AQ37">
    <cfRule type="expression" dxfId="91" priority="3227">
      <formula>$BX$19&lt;$AM$31</formula>
    </cfRule>
  </conditionalFormatting>
  <conditionalFormatting sqref="D30:S30">
    <cfRule type="expression" dxfId="90" priority="3228">
      <formula>$R$18&gt;$CB$22</formula>
    </cfRule>
  </conditionalFormatting>
  <conditionalFormatting sqref="V25">
    <cfRule type="expression" dxfId="89" priority="7">
      <formula>$AG$15=""</formula>
    </cfRule>
  </conditionalFormatting>
  <conditionalFormatting sqref="AD25">
    <cfRule type="expression" dxfId="88" priority="5">
      <formula>$AC$21=""</formula>
    </cfRule>
    <cfRule type="expression" dxfId="87" priority="6">
      <formula>$AG$15=""</formula>
    </cfRule>
  </conditionalFormatting>
  <conditionalFormatting sqref="AG21:AQ21">
    <cfRule type="expression" dxfId="86" priority="4">
      <formula>$AC$21=""</formula>
    </cfRule>
  </conditionalFormatting>
  <conditionalFormatting sqref="U23">
    <cfRule type="expression" dxfId="85" priority="3">
      <formula>$AG$15=""</formula>
    </cfRule>
  </conditionalFormatting>
  <conditionalFormatting sqref="U22:AQ24 U26:AQ26 U25:AF25 AK25:AQ25">
    <cfRule type="expression" dxfId="84" priority="2">
      <formula>$AC$21=""</formula>
    </cfRule>
  </conditionalFormatting>
  <conditionalFormatting sqref="AG25:AJ25">
    <cfRule type="expression" dxfId="83" priority="1">
      <formula>$AG$15=""</formula>
    </cfRule>
  </conditionalFormatting>
  <dataValidations xWindow="710" yWindow="672" count="10">
    <dataValidation type="list" errorStyle="information" allowBlank="1" showInputMessage="1" showErrorMessage="1" error="Eingabe ist ist nicht aus der Vorschlagstabelle" sqref="AG15 AG21" xr:uid="{00000000-0002-0000-0400-000000000000}">
      <formula1>$BO$20:$BO$23</formula1>
    </dataValidation>
    <dataValidation type="whole" allowBlank="1" showInputMessage="1" showErrorMessage="1" errorTitle="Wert zu hoch!" error="Sie überschreiten den maximalen Wert den Sie mit dem Heizkreis vorgegeben haben!" sqref="I23" xr:uid="{00000000-0002-0000-0400-000001000000}">
      <formula1>BO18</formula1>
      <formula2>BR18</formula2>
    </dataValidation>
    <dataValidation type="list" allowBlank="1" showInputMessage="1" showErrorMessage="1" sqref="G21" xr:uid="{00000000-0002-0000-0400-000002000000}">
      <formula1>$BO$8:$BO$13</formula1>
    </dataValidation>
    <dataValidation type="list" allowBlank="1" showInputMessage="1" showErrorMessage="1" sqref="V22:AD22 V16:AD16" xr:uid="{00000000-0002-0000-0400-000003000000}">
      <formula1>$BO$6:$BO$13</formula1>
    </dataValidation>
    <dataValidation type="whole" allowBlank="1" showInputMessage="1" showErrorMessage="1" errorTitle="Wert zu hoch!" error="Sie überschreiten den maximalen Wert den Sie mit dem Heizkreis vorgegeben haben!" sqref="J23" xr:uid="{00000000-0002-0000-0400-000004000000}">
      <formula1>BQ18</formula1>
      <formula2>#REF!</formula2>
    </dataValidation>
    <dataValidation type="list" allowBlank="1" showInputMessage="1" showErrorMessage="1" sqref="AE19:AF19 AE25:AF25" xr:uid="{00000000-0002-0000-0400-000005000000}">
      <formula1>$Q$16:$Q$18</formula1>
    </dataValidation>
    <dataValidation type="whole" allowBlank="1" showInputMessage="1" showErrorMessage="1" errorTitle="Temperatur zu hoch / zu niedrig" error="Diese Temperatur ist zu niedrig, sie reicht nicht aus um die Entnahmestellen ausreichend zu versorgern  oder_x000a_Diese Temperatur ist zu hoch gewählt, sie steht nicht ganzjährig zur Verfügung!" sqref="AM9" xr:uid="{00000000-0002-0000-0400-000006000000}">
      <formula1>C10</formula1>
      <formula2>AP8</formula2>
    </dataValidation>
    <dataValidation type="list" allowBlank="1" showInputMessage="1" showErrorMessage="1" sqref="AK19 AK25" xr:uid="{00000000-0002-0000-0400-000007000000}">
      <formula1>$BU$28:$BU$33</formula1>
    </dataValidation>
    <dataValidation type="whole" allowBlank="1" showInputMessage="1" showErrorMessage="1" errorTitle="Temperatur zu hoch / zu niedrig" error="Diese Temperatur ist zu niedrig, sie reicht nicht aus um die Entnahmestellen ausreichend zu versorgern  oder_x000a_Diese Temperatur ist zu hoch gewählt, sie steht nicht ganzjährig zur Verfügung!" sqref="BC28" xr:uid="{00000000-0002-0000-0400-000008000000}">
      <formula1>Q29</formula1>
      <formula2>BF27</formula2>
    </dataValidation>
    <dataValidation type="list" errorStyle="information" allowBlank="1" showInputMessage="1" showErrorMessage="1" errorTitle="Eingene Eingabe gewählt" promptTitle="Eingabeauswahl " prompt="Freie Eingabe oder Vorschlag ausgewählen:_x000a_1. Leistung der Anlagen, Typ 1_x000a_2. Leistung der anlagen Typ 2_x000a_3 erforderl. Leistung aus Abschnitt 3 Speicxherladesystem_x000a_4 max. mögliche Anschlussleistung _x000a_5 Addition der Anlagen Typ 1 und Typ 2_x000a_" sqref="AH33:AJ33" xr:uid="{00000000-0002-0000-0400-000009000000}">
      <formula1>$BA$32:$BA$38</formula1>
    </dataValidation>
  </dataValidations>
  <printOptions horizontalCentered="1"/>
  <pageMargins left="0.39370078740157483" right="0.39370078740157483" top="0.59055118110236227" bottom="0.59055118110236227" header="0.31496062992125984" footer="0.31496062992125984"/>
  <pageSetup paperSize="9" orientation="landscape" r:id="rId1"/>
  <headerFooter>
    <oddFooter>&amp;L&amp;8&amp;Z&amp;F</oddFooter>
  </headerFooter>
  <colBreaks count="1" manualBreakCount="1">
    <brk id="50" max="38" man="1"/>
  </colBreaks>
  <ignoredErrors>
    <ignoredError sqref="V26 X26 AA23 AB24 AD25 P14 BX7:BX13 BX15 BX19 BO25:BP30 CJ7:CK7" evalError="1"/>
    <ignoredError sqref="BC28 BF28 Q13 AO16 AD18 AD24 AO22 P29" unlockedFormula="1"/>
    <ignoredError sqref="Q42:AP43"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A126"/>
  <sheetViews>
    <sheetView showGridLines="0" zoomScale="120" zoomScaleNormal="120" zoomScaleSheetLayoutView="110" workbookViewId="0">
      <selection activeCell="Z20" sqref="Z20"/>
    </sheetView>
  </sheetViews>
  <sheetFormatPr baseColWidth="10" defaultColWidth="2.6640625" defaultRowHeight="13.5" customHeight="1"/>
  <cols>
    <col min="1" max="1" width="2.6640625" style="68"/>
    <col min="2" max="50" width="2.6640625" style="68" customWidth="1"/>
    <col min="51" max="52" width="2.6640625" style="68"/>
    <col min="53" max="53" width="2.6640625" style="71"/>
    <col min="54" max="57" width="2.6640625" style="70"/>
    <col min="58" max="58" width="3" style="70" bestFit="1" customWidth="1"/>
    <col min="59" max="59" width="2.6640625" style="70"/>
    <col min="60" max="60" width="3" style="70" bestFit="1" customWidth="1"/>
    <col min="61" max="61" width="2.6640625" style="70"/>
    <col min="62" max="62" width="5.109375" style="70" bestFit="1" customWidth="1"/>
    <col min="63" max="66" width="2.6640625" style="70"/>
    <col min="67" max="90" width="2.6640625" style="69"/>
    <col min="91" max="16384" width="2.6640625" style="68"/>
  </cols>
  <sheetData>
    <row r="1" spans="2:131" ht="13.5" customHeight="1">
      <c r="AY1" s="73"/>
      <c r="AZ1" s="69"/>
      <c r="BA1" s="70"/>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row>
    <row r="2" spans="2:131" ht="13.5" customHeight="1">
      <c r="B2" s="682" t="s">
        <v>259</v>
      </c>
      <c r="C2" s="1249"/>
      <c r="D2" s="1249"/>
      <c r="E2" s="1249"/>
      <c r="F2" s="1249"/>
      <c r="G2" s="1249"/>
      <c r="H2" s="1249"/>
      <c r="I2" s="1249"/>
      <c r="J2" s="1249"/>
      <c r="K2" s="1249"/>
      <c r="L2" s="1249"/>
      <c r="M2" s="1249"/>
      <c r="N2" s="1249"/>
      <c r="O2" s="1249"/>
      <c r="P2" s="1249"/>
      <c r="Q2" s="1249"/>
      <c r="R2" s="1249"/>
      <c r="S2" s="1249"/>
      <c r="T2" s="1249"/>
      <c r="U2" s="1249"/>
      <c r="V2" s="1249"/>
      <c r="W2" s="1249"/>
      <c r="X2" s="1249"/>
      <c r="Y2" s="1250"/>
      <c r="Z2" s="1"/>
      <c r="AA2" s="2"/>
      <c r="AB2" s="2"/>
      <c r="AC2" s="3"/>
      <c r="AD2" s="3"/>
      <c r="AE2" s="4"/>
      <c r="AF2" s="1207" t="s">
        <v>229</v>
      </c>
      <c r="AG2" s="1208"/>
      <c r="AH2" s="1208"/>
      <c r="AI2" s="1208"/>
      <c r="AJ2" s="1209"/>
      <c r="AK2" s="1213" t="s">
        <v>89</v>
      </c>
      <c r="AL2" s="1213"/>
      <c r="AM2" s="1213"/>
      <c r="AN2" s="1213"/>
      <c r="AO2" s="1213"/>
      <c r="AP2" s="1213"/>
      <c r="AQ2" s="1213"/>
      <c r="AR2" s="1213"/>
      <c r="AS2" s="1213"/>
      <c r="AT2" s="1213"/>
      <c r="AU2" s="1213"/>
      <c r="AV2" s="1213"/>
      <c r="AW2" s="1214"/>
      <c r="AY2" s="69"/>
      <c r="AZ2" s="422" t="s">
        <v>260</v>
      </c>
      <c r="BA2" s="670" t="s">
        <v>262</v>
      </c>
      <c r="BB2" s="665"/>
      <c r="BC2" s="423"/>
      <c r="BD2" s="423"/>
      <c r="BE2" s="423"/>
      <c r="BF2" s="423"/>
      <c r="BG2" s="423"/>
      <c r="BH2" s="423"/>
      <c r="BI2" s="423"/>
      <c r="BJ2" s="423"/>
      <c r="BK2" s="423"/>
      <c r="BL2" s="423"/>
      <c r="BM2" s="423"/>
      <c r="BN2" s="423"/>
      <c r="BO2" s="424"/>
      <c r="BP2" s="424"/>
      <c r="BQ2" s="424"/>
      <c r="BR2" s="424"/>
      <c r="BS2" s="424"/>
      <c r="BT2" s="425"/>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row>
    <row r="3" spans="2:131" ht="13.5" customHeight="1">
      <c r="B3" s="1251"/>
      <c r="C3" s="1252"/>
      <c r="D3" s="1252"/>
      <c r="E3" s="1252"/>
      <c r="F3" s="1252"/>
      <c r="G3" s="1252"/>
      <c r="H3" s="1252"/>
      <c r="I3" s="1252"/>
      <c r="J3" s="1252"/>
      <c r="K3" s="1252"/>
      <c r="L3" s="1252"/>
      <c r="M3" s="1252"/>
      <c r="N3" s="1252"/>
      <c r="O3" s="1252"/>
      <c r="P3" s="1252"/>
      <c r="Q3" s="1252"/>
      <c r="R3" s="1252"/>
      <c r="S3" s="1252"/>
      <c r="T3" s="1252"/>
      <c r="U3" s="1252"/>
      <c r="V3" s="1252"/>
      <c r="W3" s="1252"/>
      <c r="X3" s="1252"/>
      <c r="Y3" s="1253"/>
      <c r="Z3" s="5"/>
      <c r="AA3" s="6"/>
      <c r="AB3" s="118" t="s">
        <v>189</v>
      </c>
      <c r="AC3" s="7"/>
      <c r="AD3" s="7"/>
      <c r="AE3" s="8"/>
      <c r="AF3" s="1210"/>
      <c r="AG3" s="1211"/>
      <c r="AH3" s="1211"/>
      <c r="AI3" s="1211"/>
      <c r="AJ3" s="1212"/>
      <c r="AK3" s="1215"/>
      <c r="AL3" s="1215"/>
      <c r="AM3" s="1215"/>
      <c r="AN3" s="1215"/>
      <c r="AO3" s="1215"/>
      <c r="AP3" s="1215"/>
      <c r="AQ3" s="1215"/>
      <c r="AR3" s="1215"/>
      <c r="AS3" s="1215"/>
      <c r="AT3" s="1215"/>
      <c r="AU3" s="1215"/>
      <c r="AV3" s="1215"/>
      <c r="AW3" s="1216"/>
      <c r="AY3" s="69"/>
      <c r="AZ3" s="426"/>
      <c r="BA3" s="671" t="s">
        <v>261</v>
      </c>
      <c r="BB3" s="666"/>
      <c r="BC3" s="72"/>
      <c r="BD3" s="72"/>
      <c r="BE3" s="72"/>
      <c r="BF3" s="72"/>
      <c r="BG3" s="72"/>
      <c r="BH3" s="72"/>
      <c r="BI3" s="72"/>
      <c r="BJ3" s="72"/>
      <c r="BK3" s="72"/>
      <c r="BL3" s="72"/>
      <c r="BM3" s="72"/>
      <c r="BN3" s="72"/>
      <c r="BO3" s="73"/>
      <c r="BP3" s="73"/>
      <c r="BQ3" s="73"/>
      <c r="BR3" s="73"/>
      <c r="BS3" s="73"/>
      <c r="BT3" s="427"/>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row>
    <row r="4" spans="2:131" ht="13.5" customHeight="1">
      <c r="B4" s="1254"/>
      <c r="C4" s="1255"/>
      <c r="D4" s="1255"/>
      <c r="E4" s="1255"/>
      <c r="F4" s="1255"/>
      <c r="G4" s="1255"/>
      <c r="H4" s="1255"/>
      <c r="I4" s="1255"/>
      <c r="J4" s="1255"/>
      <c r="K4" s="1255"/>
      <c r="L4" s="1255"/>
      <c r="M4" s="1255"/>
      <c r="N4" s="1255"/>
      <c r="O4" s="1255"/>
      <c r="P4" s="1255"/>
      <c r="Q4" s="1255"/>
      <c r="R4" s="1255"/>
      <c r="S4" s="1255"/>
      <c r="T4" s="1255"/>
      <c r="U4" s="1255"/>
      <c r="V4" s="1255"/>
      <c r="W4" s="1255"/>
      <c r="X4" s="1255"/>
      <c r="Y4" s="1256"/>
      <c r="Z4" s="722"/>
      <c r="AA4" s="723"/>
      <c r="AB4" s="726"/>
      <c r="AC4" s="726"/>
      <c r="AD4" s="726"/>
      <c r="AE4" s="727"/>
      <c r="AF4" s="14"/>
      <c r="AG4" s="103"/>
      <c r="AH4" s="104"/>
      <c r="AI4" s="105" t="s">
        <v>52</v>
      </c>
      <c r="AJ4" s="1217">
        <f>'TWW-DIM'!AI3</f>
        <v>0</v>
      </c>
      <c r="AK4" s="1217"/>
      <c r="AL4" s="1217"/>
      <c r="AM4" s="1217"/>
      <c r="AN4" s="1217"/>
      <c r="AO4" s="1218"/>
      <c r="AP4" s="106"/>
      <c r="AQ4" s="106"/>
      <c r="AS4" s="107" t="s">
        <v>0</v>
      </c>
      <c r="AT4" s="1219">
        <f>'TWW-DIM'!AR3</f>
        <v>0</v>
      </c>
      <c r="AU4" s="1219"/>
      <c r="AV4" s="1219"/>
      <c r="AW4" s="1220"/>
      <c r="AY4" s="69"/>
      <c r="AZ4" s="1221" t="s">
        <v>60</v>
      </c>
      <c r="BA4" s="1222"/>
      <c r="BB4" s="1222"/>
      <c r="BC4" s="1222"/>
      <c r="BD4" s="1222"/>
      <c r="BE4" s="1222"/>
      <c r="BF4" s="1222"/>
      <c r="BG4" s="1222"/>
      <c r="BH4" s="1222"/>
      <c r="BI4" s="1222"/>
      <c r="BJ4" s="1222"/>
      <c r="BK4" s="1222"/>
      <c r="BL4" s="1222"/>
      <c r="BM4" s="1222"/>
      <c r="BN4" s="1222"/>
      <c r="BO4" s="1222"/>
      <c r="BP4" s="1222"/>
      <c r="BQ4" s="1222"/>
      <c r="BR4" s="1222"/>
      <c r="BS4" s="1222"/>
      <c r="BT4" s="1223"/>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row>
    <row r="5" spans="2:131" ht="13.5" customHeight="1" thickBot="1">
      <c r="B5" s="704" t="s">
        <v>88</v>
      </c>
      <c r="C5" s="705"/>
      <c r="D5" s="705"/>
      <c r="E5" s="705"/>
      <c r="F5" s="1224">
        <f>'TWW-DIM'!E4</f>
        <v>0</v>
      </c>
      <c r="G5" s="1224"/>
      <c r="H5" s="1224"/>
      <c r="I5" s="1224"/>
      <c r="J5" s="1224"/>
      <c r="K5" s="1224"/>
      <c r="L5" s="1224"/>
      <c r="M5" s="1224"/>
      <c r="N5" s="101"/>
      <c r="O5" s="1225" t="s">
        <v>87</v>
      </c>
      <c r="P5" s="1225"/>
      <c r="Q5" s="1224">
        <f>'TWW-DIM'!P4</f>
        <v>0</v>
      </c>
      <c r="R5" s="1224"/>
      <c r="S5" s="1224"/>
      <c r="T5" s="1224"/>
      <c r="U5" s="1224"/>
      <c r="V5" s="1224"/>
      <c r="W5" s="1224"/>
      <c r="X5" s="1224"/>
      <c r="Y5" s="1226"/>
      <c r="Z5" s="724"/>
      <c r="AA5" s="725"/>
      <c r="AB5" s="728"/>
      <c r="AC5" s="728"/>
      <c r="AD5" s="728"/>
      <c r="AE5" s="729"/>
      <c r="AF5" s="102"/>
      <c r="AG5" s="108"/>
      <c r="AH5" s="109"/>
      <c r="AI5" s="110" t="s">
        <v>53</v>
      </c>
      <c r="AJ5" s="1227">
        <f>'TWW-DIM'!AI4</f>
        <v>0</v>
      </c>
      <c r="AK5" s="1227"/>
      <c r="AL5" s="1227"/>
      <c r="AM5" s="1227"/>
      <c r="AN5" s="1227"/>
      <c r="AO5" s="1228"/>
      <c r="AP5" s="111"/>
      <c r="AQ5" s="112"/>
      <c r="AR5" s="113"/>
      <c r="AS5" s="114" t="s">
        <v>1</v>
      </c>
      <c r="AT5" s="1229">
        <f>'TWW-DIM'!AR4</f>
        <v>0</v>
      </c>
      <c r="AU5" s="1229"/>
      <c r="AV5" s="1229"/>
      <c r="AW5" s="1230"/>
      <c r="AY5" s="69"/>
      <c r="AZ5" s="1221"/>
      <c r="BA5" s="1222"/>
      <c r="BB5" s="1222"/>
      <c r="BC5" s="1222"/>
      <c r="BD5" s="1222"/>
      <c r="BE5" s="1222"/>
      <c r="BF5" s="1222"/>
      <c r="BG5" s="1222"/>
      <c r="BH5" s="1222"/>
      <c r="BI5" s="1222"/>
      <c r="BJ5" s="1222"/>
      <c r="BK5" s="1222"/>
      <c r="BL5" s="1222"/>
      <c r="BM5" s="1222"/>
      <c r="BN5" s="1222"/>
      <c r="BO5" s="1222"/>
      <c r="BP5" s="1222"/>
      <c r="BQ5" s="1222"/>
      <c r="BR5" s="1222"/>
      <c r="BS5" s="1222"/>
      <c r="BT5" s="1223"/>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row>
    <row r="6" spans="2:131" s="74" customFormat="1" ht="13.5" customHeight="1" thickTop="1">
      <c r="B6" s="407"/>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409"/>
      <c r="AX6" s="68"/>
      <c r="AY6" s="69"/>
      <c r="AZ6" s="1221"/>
      <c r="BA6" s="1222"/>
      <c r="BB6" s="1222"/>
      <c r="BC6" s="1222"/>
      <c r="BD6" s="1222"/>
      <c r="BE6" s="1222"/>
      <c r="BF6" s="1222"/>
      <c r="BG6" s="1222"/>
      <c r="BH6" s="1222"/>
      <c r="BI6" s="1222"/>
      <c r="BJ6" s="1222"/>
      <c r="BK6" s="1222"/>
      <c r="BL6" s="1222"/>
      <c r="BM6" s="1222"/>
      <c r="BN6" s="1222"/>
      <c r="BO6" s="1222"/>
      <c r="BP6" s="1222"/>
      <c r="BQ6" s="1222"/>
      <c r="BR6" s="1222"/>
      <c r="BS6" s="1222"/>
      <c r="BT6" s="1223"/>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row>
    <row r="7" spans="2:131" s="74" customFormat="1" ht="13.5" customHeight="1" thickBot="1">
      <c r="B7" s="398"/>
      <c r="C7" s="98"/>
      <c r="D7" s="98"/>
      <c r="E7" s="98"/>
      <c r="F7" s="98"/>
      <c r="G7" s="98"/>
      <c r="H7" s="98"/>
      <c r="I7" s="98"/>
      <c r="J7" s="399" t="s">
        <v>66</v>
      </c>
      <c r="K7" s="400" t="s">
        <v>8</v>
      </c>
      <c r="L7" s="98" t="s">
        <v>84</v>
      </c>
      <c r="M7" s="98"/>
      <c r="N7" s="98"/>
      <c r="O7" s="98"/>
      <c r="P7" s="98"/>
      <c r="Q7" s="98"/>
      <c r="R7" s="98" t="s">
        <v>80</v>
      </c>
      <c r="S7" s="401"/>
      <c r="T7" s="402"/>
      <c r="V7" s="1231" t="s">
        <v>192</v>
      </c>
      <c r="W7" s="1232"/>
      <c r="X7" s="1232"/>
      <c r="Y7" s="1232"/>
      <c r="Z7" s="1232"/>
      <c r="AA7" s="1232"/>
      <c r="AB7" s="1232"/>
      <c r="AC7" s="1232"/>
      <c r="AD7" s="1232"/>
      <c r="AE7" s="1232"/>
      <c r="AF7" s="1232"/>
      <c r="AG7" s="1232"/>
      <c r="AH7" s="1232"/>
      <c r="AI7" s="1232"/>
      <c r="AJ7" s="1232"/>
      <c r="AK7" s="1232"/>
      <c r="AL7" s="1232"/>
      <c r="AM7" s="1232"/>
      <c r="AN7" s="1232"/>
      <c r="AO7" s="1232"/>
      <c r="AP7" s="1232"/>
      <c r="AQ7" s="1232"/>
      <c r="AR7" s="1232"/>
      <c r="AS7" s="1232"/>
      <c r="AT7" s="1232"/>
      <c r="AU7" s="1232"/>
      <c r="AV7" s="1232"/>
      <c r="AW7" s="1233"/>
      <c r="AX7" s="68"/>
      <c r="AY7" s="69"/>
      <c r="AZ7" s="1221"/>
      <c r="BA7" s="1222"/>
      <c r="BB7" s="1222"/>
      <c r="BC7" s="1222"/>
      <c r="BD7" s="1222"/>
      <c r="BE7" s="1222"/>
      <c r="BF7" s="1222"/>
      <c r="BG7" s="1222"/>
      <c r="BH7" s="1222"/>
      <c r="BI7" s="1222"/>
      <c r="BJ7" s="1222"/>
      <c r="BK7" s="1222"/>
      <c r="BL7" s="1222"/>
      <c r="BM7" s="1222"/>
      <c r="BN7" s="1222"/>
      <c r="BO7" s="1222"/>
      <c r="BP7" s="1222"/>
      <c r="BQ7" s="1222"/>
      <c r="BR7" s="1222"/>
      <c r="BS7" s="1222"/>
      <c r="BT7" s="1223"/>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row>
    <row r="8" spans="2:131" s="74" customFormat="1" ht="13.5" customHeight="1">
      <c r="B8" s="80"/>
      <c r="C8" s="1240" t="s">
        <v>85</v>
      </c>
      <c r="D8" s="1241"/>
      <c r="E8" s="1241"/>
      <c r="F8" s="1241"/>
      <c r="G8" s="1241"/>
      <c r="H8" s="1242"/>
      <c r="I8" s="79"/>
      <c r="J8" s="376" t="s">
        <v>74</v>
      </c>
      <c r="K8" s="377" t="s">
        <v>8</v>
      </c>
      <c r="L8" s="87" t="s">
        <v>81</v>
      </c>
      <c r="M8" s="87"/>
      <c r="N8" s="87"/>
      <c r="O8" s="87"/>
      <c r="P8" s="87"/>
      <c r="Q8" s="87"/>
      <c r="R8" s="87"/>
      <c r="S8" s="87" t="s">
        <v>80</v>
      </c>
      <c r="T8" s="86"/>
      <c r="V8" s="1234"/>
      <c r="W8" s="1235"/>
      <c r="X8" s="1235"/>
      <c r="Y8" s="1235"/>
      <c r="Z8" s="1235"/>
      <c r="AA8" s="1235"/>
      <c r="AB8" s="1235"/>
      <c r="AC8" s="1235"/>
      <c r="AD8" s="1235"/>
      <c r="AE8" s="1235"/>
      <c r="AF8" s="1235"/>
      <c r="AG8" s="1235"/>
      <c r="AH8" s="1235"/>
      <c r="AI8" s="1235"/>
      <c r="AJ8" s="1235"/>
      <c r="AK8" s="1235"/>
      <c r="AL8" s="1235"/>
      <c r="AM8" s="1235"/>
      <c r="AN8" s="1235"/>
      <c r="AO8" s="1235"/>
      <c r="AP8" s="1235"/>
      <c r="AQ8" s="1235"/>
      <c r="AR8" s="1235"/>
      <c r="AS8" s="1235"/>
      <c r="AT8" s="1235"/>
      <c r="AU8" s="1235"/>
      <c r="AV8" s="1235"/>
      <c r="AW8" s="1236"/>
      <c r="AX8" s="68"/>
      <c r="AY8" s="69"/>
      <c r="AZ8" s="668"/>
      <c r="BA8" s="658"/>
      <c r="BB8" s="658"/>
      <c r="BC8" s="658"/>
      <c r="BD8" s="658"/>
      <c r="BE8" s="658"/>
      <c r="BF8" s="658"/>
      <c r="BG8" s="658"/>
      <c r="BH8" s="658"/>
      <c r="BI8" s="658"/>
      <c r="BJ8" s="658"/>
      <c r="BK8" s="658"/>
      <c r="BL8" s="658"/>
      <c r="BM8" s="658"/>
      <c r="BN8" s="658"/>
      <c r="BO8" s="659"/>
      <c r="BP8" s="659"/>
      <c r="BQ8" s="659"/>
      <c r="BR8" s="659"/>
      <c r="BS8" s="659"/>
      <c r="BT8" s="6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row>
    <row r="9" spans="2:131" s="74" customFormat="1" ht="13.5" customHeight="1" thickBot="1">
      <c r="B9" s="80"/>
      <c r="C9" s="1243"/>
      <c r="D9" s="1244"/>
      <c r="E9" s="1244"/>
      <c r="F9" s="1244"/>
      <c r="G9" s="1244"/>
      <c r="H9" s="1245"/>
      <c r="I9" s="100"/>
      <c r="J9" s="378"/>
      <c r="K9" s="379"/>
      <c r="L9" s="380" t="s">
        <v>78</v>
      </c>
      <c r="M9" s="94"/>
      <c r="N9" s="94"/>
      <c r="O9" s="94"/>
      <c r="P9" s="94"/>
      <c r="Q9" s="94"/>
      <c r="R9" s="94"/>
      <c r="S9" s="94"/>
      <c r="T9" s="92"/>
      <c r="V9" s="1234"/>
      <c r="W9" s="1235"/>
      <c r="X9" s="1235"/>
      <c r="Y9" s="1235"/>
      <c r="Z9" s="1235"/>
      <c r="AA9" s="1235"/>
      <c r="AB9" s="1235"/>
      <c r="AC9" s="1235"/>
      <c r="AD9" s="1235"/>
      <c r="AE9" s="1235"/>
      <c r="AF9" s="1235"/>
      <c r="AG9" s="1235"/>
      <c r="AH9" s="1235"/>
      <c r="AI9" s="1235"/>
      <c r="AJ9" s="1235"/>
      <c r="AK9" s="1235"/>
      <c r="AL9" s="1235"/>
      <c r="AM9" s="1235"/>
      <c r="AN9" s="1235"/>
      <c r="AO9" s="1235"/>
      <c r="AP9" s="1235"/>
      <c r="AQ9" s="1235"/>
      <c r="AR9" s="1235"/>
      <c r="AS9" s="1235"/>
      <c r="AT9" s="1235"/>
      <c r="AU9" s="1235"/>
      <c r="AV9" s="1235"/>
      <c r="AW9" s="1236"/>
      <c r="AX9" s="68"/>
      <c r="AY9" s="69"/>
      <c r="AZ9" s="1221" t="s">
        <v>255</v>
      </c>
      <c r="BA9" s="1222"/>
      <c r="BB9" s="1222"/>
      <c r="BC9" s="1222"/>
      <c r="BD9" s="1222"/>
      <c r="BE9" s="1222"/>
      <c r="BF9" s="1222"/>
      <c r="BG9" s="1222"/>
      <c r="BH9" s="1222"/>
      <c r="BI9" s="1222"/>
      <c r="BJ9" s="1222"/>
      <c r="BK9" s="1222"/>
      <c r="BL9" s="1222"/>
      <c r="BM9" s="1222"/>
      <c r="BN9" s="1222"/>
      <c r="BO9" s="1222"/>
      <c r="BP9" s="1222"/>
      <c r="BQ9" s="1222"/>
      <c r="BR9" s="1222"/>
      <c r="BS9" s="1222"/>
      <c r="BT9" s="1223"/>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row>
    <row r="10" spans="2:131" s="74" customFormat="1" ht="13.5" customHeight="1">
      <c r="B10" s="80"/>
      <c r="C10" s="79"/>
      <c r="D10" s="79"/>
      <c r="E10" s="79"/>
      <c r="F10" s="79"/>
      <c r="G10" s="79"/>
      <c r="H10" s="79"/>
      <c r="I10" s="79"/>
      <c r="J10" s="96" t="s">
        <v>77</v>
      </c>
      <c r="K10" s="96"/>
      <c r="L10" s="95" t="s">
        <v>8</v>
      </c>
      <c r="M10" s="79" t="s">
        <v>71</v>
      </c>
      <c r="N10" s="79"/>
      <c r="O10" s="79"/>
      <c r="P10" s="79"/>
      <c r="Q10" s="79"/>
      <c r="R10" s="79"/>
      <c r="S10" s="79"/>
      <c r="T10" s="78"/>
      <c r="V10" s="1237"/>
      <c r="W10" s="1238"/>
      <c r="X10" s="1238"/>
      <c r="Y10" s="1238"/>
      <c r="Z10" s="1238"/>
      <c r="AA10" s="1238"/>
      <c r="AB10" s="1238"/>
      <c r="AC10" s="1238"/>
      <c r="AD10" s="1238"/>
      <c r="AE10" s="1238"/>
      <c r="AF10" s="1238"/>
      <c r="AG10" s="1238"/>
      <c r="AH10" s="1238"/>
      <c r="AI10" s="1238"/>
      <c r="AJ10" s="1238"/>
      <c r="AK10" s="1238"/>
      <c r="AL10" s="1238"/>
      <c r="AM10" s="1238"/>
      <c r="AN10" s="1238"/>
      <c r="AO10" s="1238"/>
      <c r="AP10" s="1238"/>
      <c r="AQ10" s="1238"/>
      <c r="AR10" s="1238"/>
      <c r="AS10" s="1238"/>
      <c r="AT10" s="1238"/>
      <c r="AU10" s="1238"/>
      <c r="AV10" s="1238"/>
      <c r="AW10" s="1239"/>
      <c r="AX10" s="68"/>
      <c r="AY10" s="69"/>
      <c r="AZ10" s="1221"/>
      <c r="BA10" s="1222"/>
      <c r="BB10" s="1222"/>
      <c r="BC10" s="1222"/>
      <c r="BD10" s="1222"/>
      <c r="BE10" s="1222"/>
      <c r="BF10" s="1222"/>
      <c r="BG10" s="1222"/>
      <c r="BH10" s="1222"/>
      <c r="BI10" s="1222"/>
      <c r="BJ10" s="1222"/>
      <c r="BK10" s="1222"/>
      <c r="BL10" s="1222"/>
      <c r="BM10" s="1222"/>
      <c r="BN10" s="1222"/>
      <c r="BO10" s="1222"/>
      <c r="BP10" s="1222"/>
      <c r="BQ10" s="1222"/>
      <c r="BR10" s="1222"/>
      <c r="BS10" s="1222"/>
      <c r="BT10" s="1223"/>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row>
    <row r="11" spans="2:131" s="74" customFormat="1" ht="13.5" customHeight="1" thickBot="1">
      <c r="B11" s="403"/>
      <c r="C11" s="96"/>
      <c r="D11" s="79"/>
      <c r="E11" s="79"/>
      <c r="F11" s="79"/>
      <c r="G11" s="79"/>
      <c r="H11" s="79"/>
      <c r="I11" s="79"/>
      <c r="J11" s="79"/>
      <c r="K11" s="79"/>
      <c r="L11" s="79"/>
      <c r="M11" s="91" t="s">
        <v>76</v>
      </c>
      <c r="N11" s="79"/>
      <c r="O11" s="79"/>
      <c r="P11" s="79"/>
      <c r="Q11" s="79"/>
      <c r="R11" s="79"/>
      <c r="S11" s="79"/>
      <c r="T11" s="78"/>
      <c r="V11" s="374"/>
      <c r="W11" s="374"/>
      <c r="X11" s="374"/>
      <c r="Y11" s="374"/>
      <c r="Z11" s="374"/>
      <c r="AW11" s="409"/>
      <c r="AX11" s="68"/>
      <c r="AY11" s="69"/>
      <c r="AZ11" s="1221"/>
      <c r="BA11" s="1222"/>
      <c r="BB11" s="1222"/>
      <c r="BC11" s="1222"/>
      <c r="BD11" s="1222"/>
      <c r="BE11" s="1222"/>
      <c r="BF11" s="1222"/>
      <c r="BG11" s="1222"/>
      <c r="BH11" s="1222"/>
      <c r="BI11" s="1222"/>
      <c r="BJ11" s="1222"/>
      <c r="BK11" s="1222"/>
      <c r="BL11" s="1222"/>
      <c r="BM11" s="1222"/>
      <c r="BN11" s="1222"/>
      <c r="BO11" s="1222"/>
      <c r="BP11" s="1222"/>
      <c r="BQ11" s="1222"/>
      <c r="BR11" s="1222"/>
      <c r="BS11" s="1222"/>
      <c r="BT11" s="1223"/>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row>
    <row r="12" spans="2:131" s="74" customFormat="1" ht="13.5" customHeight="1" thickBot="1">
      <c r="B12" s="392" t="s">
        <v>202</v>
      </c>
      <c r="C12" s="404"/>
      <c r="D12" s="404"/>
      <c r="E12" s="404"/>
      <c r="F12" s="404"/>
      <c r="G12" s="404"/>
      <c r="H12" s="404"/>
      <c r="I12" s="404"/>
      <c r="J12" s="404"/>
      <c r="K12" s="404"/>
      <c r="L12" s="404"/>
      <c r="M12" s="404"/>
      <c r="N12" s="404"/>
      <c r="O12" s="404"/>
      <c r="P12" s="404"/>
      <c r="Q12" s="404"/>
      <c r="R12" s="404"/>
      <c r="S12" s="404"/>
      <c r="T12" s="404"/>
      <c r="U12" s="385"/>
      <c r="V12" s="404"/>
      <c r="W12" s="404"/>
      <c r="X12" s="404"/>
      <c r="Y12" s="404"/>
      <c r="Z12" s="404"/>
      <c r="AA12" s="385"/>
      <c r="AB12" s="405"/>
      <c r="AC12" s="1246">
        <v>0.2</v>
      </c>
      <c r="AD12" s="1247"/>
      <c r="AE12" s="89" t="s">
        <v>73</v>
      </c>
      <c r="AF12" s="89" t="s">
        <v>75</v>
      </c>
      <c r="AG12" s="90" t="s">
        <v>74</v>
      </c>
      <c r="AH12" s="89" t="s">
        <v>73</v>
      </c>
      <c r="AI12" s="1247">
        <v>500</v>
      </c>
      <c r="AJ12" s="1248"/>
      <c r="AK12" s="406" t="s">
        <v>203</v>
      </c>
      <c r="AL12" s="385"/>
      <c r="AM12" s="385"/>
      <c r="AN12" s="385"/>
      <c r="AO12" s="385"/>
      <c r="AP12" s="385"/>
      <c r="AQ12" s="385"/>
      <c r="AR12" s="385"/>
      <c r="AS12" s="385"/>
      <c r="AT12" s="385"/>
      <c r="AU12" s="385"/>
      <c r="AV12" s="385"/>
      <c r="AW12" s="393"/>
      <c r="AX12" s="68"/>
      <c r="AY12" s="69"/>
      <c r="AZ12" s="1221"/>
      <c r="BA12" s="1222"/>
      <c r="BB12" s="1222"/>
      <c r="BC12" s="1222"/>
      <c r="BD12" s="1222"/>
      <c r="BE12" s="1222"/>
      <c r="BF12" s="1222"/>
      <c r="BG12" s="1222"/>
      <c r="BH12" s="1222"/>
      <c r="BI12" s="1222"/>
      <c r="BJ12" s="1222"/>
      <c r="BK12" s="1222"/>
      <c r="BL12" s="1222"/>
      <c r="BM12" s="1222"/>
      <c r="BN12" s="1222"/>
      <c r="BO12" s="1222"/>
      <c r="BP12" s="1222"/>
      <c r="BQ12" s="1222"/>
      <c r="BR12" s="1222"/>
      <c r="BS12" s="1222"/>
      <c r="BT12" s="1223"/>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row>
    <row r="13" spans="2:131" s="74" customFormat="1" ht="13.5" customHeight="1">
      <c r="B13" s="408"/>
      <c r="C13" s="374"/>
      <c r="D13" s="374"/>
      <c r="E13" s="374"/>
      <c r="F13" s="374"/>
      <c r="G13" s="374"/>
      <c r="H13" s="374"/>
      <c r="I13" s="374"/>
      <c r="J13" s="374"/>
      <c r="K13" s="374"/>
      <c r="L13" s="374"/>
      <c r="M13" s="374"/>
      <c r="N13" s="374"/>
      <c r="O13" s="374"/>
      <c r="P13" s="375"/>
      <c r="Q13" s="374"/>
      <c r="R13" s="374"/>
      <c r="S13" s="374"/>
      <c r="T13" s="374"/>
      <c r="V13" s="374"/>
      <c r="W13" s="374"/>
      <c r="X13" s="374"/>
      <c r="Y13" s="374"/>
      <c r="Z13" s="374"/>
      <c r="AW13" s="387"/>
      <c r="AX13" s="68"/>
      <c r="AY13" s="69"/>
      <c r="AZ13" s="668"/>
      <c r="BA13" s="658"/>
      <c r="BB13" s="658"/>
      <c r="BC13" s="658"/>
      <c r="BD13" s="658"/>
      <c r="BE13" s="658"/>
      <c r="BF13" s="658"/>
      <c r="BG13" s="658"/>
      <c r="BH13" s="658"/>
      <c r="BI13" s="658"/>
      <c r="BJ13" s="658"/>
      <c r="BK13" s="658"/>
      <c r="BL13" s="658"/>
      <c r="BM13" s="658"/>
      <c r="BN13" s="658"/>
      <c r="BO13" s="659"/>
      <c r="BP13" s="659"/>
      <c r="BQ13" s="659"/>
      <c r="BR13" s="659"/>
      <c r="BS13" s="659"/>
      <c r="BT13" s="6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row>
    <row r="14" spans="2:131" s="74" customFormat="1" ht="13.5" customHeight="1" thickBot="1">
      <c r="B14" s="1257" t="s">
        <v>86</v>
      </c>
      <c r="C14" s="1258"/>
      <c r="D14" s="1262">
        <f>'TWW-DIM'!G6</f>
        <v>0</v>
      </c>
      <c r="E14" s="1263"/>
      <c r="F14" s="1263"/>
      <c r="G14" s="1263"/>
      <c r="H14" s="395"/>
      <c r="I14" s="395"/>
      <c r="J14" s="395"/>
      <c r="K14" s="395"/>
      <c r="L14" s="395"/>
      <c r="M14" s="416" t="s">
        <v>197</v>
      </c>
      <c r="N14" s="1264">
        <f>'TWW-DIM'!$N$16</f>
        <v>10</v>
      </c>
      <c r="O14" s="1265"/>
      <c r="P14" s="1266" t="s">
        <v>198</v>
      </c>
      <c r="Q14" s="1267"/>
      <c r="R14" s="1267"/>
      <c r="S14" s="1268">
        <f>MAX(G17,G19,G21,G23)</f>
        <v>38</v>
      </c>
      <c r="T14" s="1269"/>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6"/>
      <c r="AX14" s="68"/>
      <c r="AY14" s="69"/>
      <c r="AZ14" s="1303" t="s">
        <v>59</v>
      </c>
      <c r="BA14" s="1304"/>
      <c r="BB14" s="1304"/>
      <c r="BC14" s="1304"/>
      <c r="BD14" s="1304"/>
      <c r="BE14" s="1304"/>
      <c r="BF14" s="1304"/>
      <c r="BG14" s="1304"/>
      <c r="BH14" s="1304"/>
      <c r="BI14" s="1304"/>
      <c r="BJ14" s="1304"/>
      <c r="BK14" s="1304"/>
      <c r="BL14" s="1304"/>
      <c r="BM14" s="1304"/>
      <c r="BN14" s="1304"/>
      <c r="BO14" s="1304"/>
      <c r="BP14" s="1304"/>
      <c r="BQ14" s="1304"/>
      <c r="BR14" s="1304"/>
      <c r="BS14" s="1304"/>
      <c r="BT14" s="1305"/>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row>
    <row r="15" spans="2:131" s="74" customFormat="1" ht="13.5" customHeight="1" thickTop="1">
      <c r="B15" s="1259"/>
      <c r="C15" s="1260"/>
      <c r="D15" s="1306" t="s">
        <v>193</v>
      </c>
      <c r="E15" s="1307"/>
      <c r="F15" s="1307"/>
      <c r="G15" s="1307"/>
      <c r="H15" s="1307"/>
      <c r="I15" s="1307"/>
      <c r="J15" s="1307"/>
      <c r="K15" s="1307"/>
      <c r="L15" s="1307"/>
      <c r="M15" s="1307"/>
      <c r="N15" s="79"/>
      <c r="O15" s="79"/>
      <c r="P15" s="1308" t="s">
        <v>194</v>
      </c>
      <c r="Q15" s="1309"/>
      <c r="R15" s="1310"/>
      <c r="S15" s="417"/>
      <c r="T15" s="418"/>
      <c r="U15" s="418"/>
      <c r="V15" s="418"/>
      <c r="W15" s="418"/>
      <c r="X15" s="418"/>
      <c r="Y15" s="418"/>
      <c r="Z15" s="418"/>
      <c r="AA15" s="419"/>
      <c r="AB15" s="75"/>
      <c r="AD15" s="397"/>
      <c r="AE15" s="397"/>
      <c r="AF15" s="397"/>
      <c r="AG15" s="397"/>
      <c r="AH15" s="397"/>
      <c r="AI15" s="397"/>
      <c r="AJ15" s="1311" t="s">
        <v>55</v>
      </c>
      <c r="AK15" s="1312"/>
      <c r="AL15" s="1308" t="s">
        <v>194</v>
      </c>
      <c r="AM15" s="1309"/>
      <c r="AN15" s="1310"/>
      <c r="AO15" s="79"/>
      <c r="AP15" s="79"/>
      <c r="AQ15" s="79"/>
      <c r="AR15" s="79"/>
      <c r="AS15" s="79"/>
      <c r="AT15" s="79"/>
      <c r="AU15" s="79"/>
      <c r="AV15" s="79"/>
      <c r="AW15" s="78"/>
      <c r="AX15" s="68"/>
      <c r="AY15" s="69"/>
      <c r="AZ15" s="1303"/>
      <c r="BA15" s="1304"/>
      <c r="BB15" s="1304"/>
      <c r="BC15" s="1304"/>
      <c r="BD15" s="1304"/>
      <c r="BE15" s="1304"/>
      <c r="BF15" s="1304"/>
      <c r="BG15" s="1304"/>
      <c r="BH15" s="1304"/>
      <c r="BI15" s="1304"/>
      <c r="BJ15" s="1304"/>
      <c r="BK15" s="1304"/>
      <c r="BL15" s="1304"/>
      <c r="BM15" s="1304"/>
      <c r="BN15" s="1304"/>
      <c r="BO15" s="1304"/>
      <c r="BP15" s="1304"/>
      <c r="BQ15" s="1304"/>
      <c r="BR15" s="1304"/>
      <c r="BS15" s="1304"/>
      <c r="BT15" s="1305"/>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row>
    <row r="16" spans="2:131" s="74" customFormat="1" ht="13.5" customHeight="1">
      <c r="B16" s="1259"/>
      <c r="C16" s="1260"/>
      <c r="D16" s="99" t="s">
        <v>13</v>
      </c>
      <c r="E16" s="98"/>
      <c r="F16" s="98"/>
      <c r="G16" s="1313" t="s">
        <v>83</v>
      </c>
      <c r="H16" s="1313"/>
      <c r="I16" s="1313" t="s">
        <v>82</v>
      </c>
      <c r="J16" s="1313"/>
      <c r="K16" s="1313"/>
      <c r="L16" s="1313"/>
      <c r="M16" s="1313"/>
      <c r="N16" s="1314" t="s">
        <v>188</v>
      </c>
      <c r="O16" s="1314"/>
      <c r="P16" s="1315" t="s">
        <v>195</v>
      </c>
      <c r="Q16" s="1316"/>
      <c r="R16" s="1317"/>
      <c r="S16" s="1318" t="s">
        <v>196</v>
      </c>
      <c r="T16" s="1309"/>
      <c r="U16" s="1309"/>
      <c r="V16" s="1309"/>
      <c r="W16" s="1309"/>
      <c r="X16" s="1309"/>
      <c r="Y16" s="1309"/>
      <c r="Z16" s="1309"/>
      <c r="AA16" s="1319"/>
      <c r="AB16" s="75"/>
      <c r="AC16" s="433"/>
      <c r="AD16" s="374"/>
      <c r="AE16" s="374"/>
      <c r="AF16" s="374"/>
      <c r="AG16" s="374"/>
      <c r="AH16" s="374"/>
      <c r="AI16" s="434"/>
      <c r="AJ16" s="1270" t="s">
        <v>188</v>
      </c>
      <c r="AK16" s="1271"/>
      <c r="AL16" s="1315" t="s">
        <v>195</v>
      </c>
      <c r="AM16" s="1316"/>
      <c r="AN16" s="1317"/>
      <c r="AO16" s="1318" t="s">
        <v>196</v>
      </c>
      <c r="AP16" s="1309"/>
      <c r="AQ16" s="1309"/>
      <c r="AR16" s="1309"/>
      <c r="AS16" s="1309"/>
      <c r="AT16" s="1309"/>
      <c r="AU16" s="1309"/>
      <c r="AV16" s="1309"/>
      <c r="AW16" s="1319"/>
      <c r="AX16" s="68"/>
      <c r="AY16" s="69"/>
      <c r="AZ16" s="668"/>
      <c r="BA16" s="658"/>
      <c r="BB16" s="658"/>
      <c r="BC16" s="658"/>
      <c r="BD16" s="658"/>
      <c r="BE16" s="658"/>
      <c r="BF16" s="658"/>
      <c r="BG16" s="658"/>
      <c r="BH16" s="658"/>
      <c r="BI16" s="658"/>
      <c r="BJ16" s="658"/>
      <c r="BK16" s="658"/>
      <c r="BL16" s="658"/>
      <c r="BM16" s="658"/>
      <c r="BN16" s="658"/>
      <c r="BO16" s="659"/>
      <c r="BP16" s="659"/>
      <c r="BQ16" s="659"/>
      <c r="BR16" s="659"/>
      <c r="BS16" s="659"/>
      <c r="BT16" s="6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row>
    <row r="17" spans="2:131" s="74" customFormat="1" ht="13.5" customHeight="1">
      <c r="B17" s="1259"/>
      <c r="C17" s="1260"/>
      <c r="D17" s="1274">
        <f>'TWW-DIM'!D11</f>
        <v>0</v>
      </c>
      <c r="E17" s="1275"/>
      <c r="F17" s="94"/>
      <c r="G17" s="1276">
        <f>'TWW-DIM'!N11</f>
        <v>38</v>
      </c>
      <c r="H17" s="1277"/>
      <c r="I17" s="93" t="s">
        <v>72</v>
      </c>
      <c r="J17" s="1278">
        <f>'TWW-DIM'!$J$11</f>
        <v>10</v>
      </c>
      <c r="K17" s="1279"/>
      <c r="L17" s="1280"/>
      <c r="M17" s="93" t="s">
        <v>72</v>
      </c>
      <c r="N17" s="1281">
        <f>IF(D14&lt;=D17,D14,D17)</f>
        <v>0</v>
      </c>
      <c r="O17" s="1273"/>
      <c r="P17" s="1282">
        <f>J17/60*N17</f>
        <v>0</v>
      </c>
      <c r="Q17" s="1283"/>
      <c r="R17" s="1284"/>
      <c r="S17" s="1283">
        <f>P17*(G17-N14)/(S25-N14)</f>
        <v>0</v>
      </c>
      <c r="T17" s="1283"/>
      <c r="U17" s="1283"/>
      <c r="V17" s="1285">
        <f>P17*(G17-N14)/(V25-N14)</f>
        <v>0</v>
      </c>
      <c r="W17" s="1283"/>
      <c r="X17" s="1286"/>
      <c r="Y17" s="1283">
        <f>P17*(G17-N14)/(Y25-N14)</f>
        <v>0</v>
      </c>
      <c r="Z17" s="1283"/>
      <c r="AA17" s="1287"/>
      <c r="AB17" s="75"/>
      <c r="AC17" s="435"/>
      <c r="AD17" s="374"/>
      <c r="AE17" s="374"/>
      <c r="AF17" s="374"/>
      <c r="AG17" s="374"/>
      <c r="AH17" s="374"/>
      <c r="AI17" s="434"/>
      <c r="AJ17" s="1272"/>
      <c r="AK17" s="1273"/>
      <c r="AL17" s="1282">
        <f>J17/60*AJ17</f>
        <v>0</v>
      </c>
      <c r="AM17" s="1283"/>
      <c r="AN17" s="1284"/>
      <c r="AO17" s="1283">
        <f>AL17*(G17-N14)/(AO25-N14)</f>
        <v>0</v>
      </c>
      <c r="AP17" s="1283"/>
      <c r="AQ17" s="1283"/>
      <c r="AR17" s="1285">
        <f>AL17*(G17-N14)/(AR25-N14)</f>
        <v>0</v>
      </c>
      <c r="AS17" s="1283"/>
      <c r="AT17" s="1286"/>
      <c r="AU17" s="1283">
        <f>AL17*(G17-N14)/(AU25-N14)</f>
        <v>0</v>
      </c>
      <c r="AV17" s="1283"/>
      <c r="AW17" s="1287"/>
      <c r="AX17" s="68"/>
      <c r="AY17" s="69"/>
      <c r="AZ17" s="1303" t="s">
        <v>58</v>
      </c>
      <c r="BA17" s="1304"/>
      <c r="BB17" s="1304"/>
      <c r="BC17" s="1304"/>
      <c r="BD17" s="1304"/>
      <c r="BE17" s="1304"/>
      <c r="BF17" s="1304"/>
      <c r="BG17" s="1304"/>
      <c r="BH17" s="1304"/>
      <c r="BI17" s="1304"/>
      <c r="BJ17" s="1304"/>
      <c r="BK17" s="1304"/>
      <c r="BL17" s="1304"/>
      <c r="BM17" s="1304"/>
      <c r="BN17" s="1304"/>
      <c r="BO17" s="1304"/>
      <c r="BP17" s="1304"/>
      <c r="BQ17" s="1304"/>
      <c r="BR17" s="1304"/>
      <c r="BS17" s="1304"/>
      <c r="BT17" s="1305"/>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row>
    <row r="18" spans="2:131" s="74" customFormat="1" ht="13.5" customHeight="1">
      <c r="B18" s="1259"/>
      <c r="C18" s="1260"/>
      <c r="D18" s="97" t="s">
        <v>79</v>
      </c>
      <c r="E18" s="79"/>
      <c r="F18" s="79"/>
      <c r="G18" s="79"/>
      <c r="H18" s="79"/>
      <c r="I18" s="79"/>
      <c r="J18" s="79"/>
      <c r="K18" s="79"/>
      <c r="L18" s="79"/>
      <c r="M18" s="79"/>
      <c r="N18" s="1320">
        <f>D19+D17</f>
        <v>0</v>
      </c>
      <c r="O18" s="1321"/>
      <c r="P18" s="80"/>
      <c r="Q18" s="79"/>
      <c r="R18" s="382"/>
      <c r="S18" s="79"/>
      <c r="T18" s="79"/>
      <c r="U18" s="79"/>
      <c r="V18" s="386"/>
      <c r="W18" s="79"/>
      <c r="X18" s="387"/>
      <c r="Y18" s="79"/>
      <c r="Z18" s="79"/>
      <c r="AA18" s="78"/>
      <c r="AB18" s="75"/>
      <c r="AC18" s="435"/>
      <c r="AD18" s="374"/>
      <c r="AE18" s="374"/>
      <c r="AF18" s="374"/>
      <c r="AG18" s="374"/>
      <c r="AH18" s="374"/>
      <c r="AI18" s="434"/>
      <c r="AJ18" s="1322"/>
      <c r="AK18" s="1321"/>
      <c r="AL18" s="80"/>
      <c r="AM18" s="79"/>
      <c r="AN18" s="382"/>
      <c r="AO18" s="79"/>
      <c r="AP18" s="79"/>
      <c r="AQ18" s="79"/>
      <c r="AR18" s="386"/>
      <c r="AS18" s="79"/>
      <c r="AT18" s="387"/>
      <c r="AU18" s="79"/>
      <c r="AV18" s="79"/>
      <c r="AW18" s="78"/>
      <c r="AX18" s="68"/>
      <c r="AY18" s="69"/>
      <c r="AZ18" s="1303"/>
      <c r="BA18" s="1304"/>
      <c r="BB18" s="1304"/>
      <c r="BC18" s="1304"/>
      <c r="BD18" s="1304"/>
      <c r="BE18" s="1304"/>
      <c r="BF18" s="1304"/>
      <c r="BG18" s="1304"/>
      <c r="BH18" s="1304"/>
      <c r="BI18" s="1304"/>
      <c r="BJ18" s="1304"/>
      <c r="BK18" s="1304"/>
      <c r="BL18" s="1304"/>
      <c r="BM18" s="1304"/>
      <c r="BN18" s="1304"/>
      <c r="BO18" s="1304"/>
      <c r="BP18" s="1304"/>
      <c r="BQ18" s="1304"/>
      <c r="BR18" s="1304"/>
      <c r="BS18" s="1304"/>
      <c r="BT18" s="1305"/>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row>
    <row r="19" spans="2:131" s="74" customFormat="1" ht="13.5" customHeight="1">
      <c r="B19" s="1259"/>
      <c r="C19" s="1260"/>
      <c r="D19" s="1274">
        <f>'TWW-DIM'!D12</f>
        <v>0</v>
      </c>
      <c r="E19" s="1275"/>
      <c r="F19" s="79"/>
      <c r="G19" s="1276">
        <f>'TWW-DIM'!N12</f>
        <v>30</v>
      </c>
      <c r="H19" s="1277"/>
      <c r="I19" s="85" t="s">
        <v>72</v>
      </c>
      <c r="J19" s="1278">
        <f>'TWW-DIM'!$J$12</f>
        <v>4.5</v>
      </c>
      <c r="K19" s="1279"/>
      <c r="L19" s="1280"/>
      <c r="M19" s="85" t="s">
        <v>72</v>
      </c>
      <c r="N19" s="1281">
        <f>IF(N18&gt;D14,D14-N17,D19)</f>
        <v>0</v>
      </c>
      <c r="O19" s="1273"/>
      <c r="P19" s="1282">
        <f>J19/60*N19</f>
        <v>0</v>
      </c>
      <c r="Q19" s="1283"/>
      <c r="R19" s="1284"/>
      <c r="S19" s="1283">
        <f>P19*(G19-N14)/(S25-N14)</f>
        <v>0</v>
      </c>
      <c r="T19" s="1283"/>
      <c r="U19" s="1283"/>
      <c r="V19" s="1285">
        <f>P19*(G19-N14)/(V25-N14)</f>
        <v>0</v>
      </c>
      <c r="W19" s="1283"/>
      <c r="X19" s="1286"/>
      <c r="Y19" s="1283">
        <f>P19*(G19-N14)/(Y25-N14)</f>
        <v>0</v>
      </c>
      <c r="Z19" s="1283"/>
      <c r="AA19" s="1287"/>
      <c r="AB19" s="75"/>
      <c r="AC19" s="435"/>
      <c r="AD19" s="374"/>
      <c r="AE19" s="374"/>
      <c r="AF19" s="374"/>
      <c r="AG19" s="374"/>
      <c r="AH19" s="374"/>
      <c r="AI19" s="434"/>
      <c r="AJ19" s="1272"/>
      <c r="AK19" s="1273"/>
      <c r="AL19" s="1282">
        <f>J19/60*AJ19</f>
        <v>0</v>
      </c>
      <c r="AM19" s="1283"/>
      <c r="AN19" s="1284"/>
      <c r="AO19" s="1283">
        <f>AL19*(G19-N14)/(AO25-N14)</f>
        <v>0</v>
      </c>
      <c r="AP19" s="1283"/>
      <c r="AQ19" s="1283"/>
      <c r="AR19" s="1285">
        <f>AL19*(G19-N14)/(AR25-N14)</f>
        <v>0</v>
      </c>
      <c r="AS19" s="1283"/>
      <c r="AT19" s="1286"/>
      <c r="AU19" s="1283">
        <f>AL19*(G19-N14)/(AU25-N14)</f>
        <v>0</v>
      </c>
      <c r="AV19" s="1283"/>
      <c r="AW19" s="1287"/>
      <c r="AX19" s="68"/>
      <c r="AY19" s="69"/>
      <c r="AZ19" s="668"/>
      <c r="BA19" s="658"/>
      <c r="BB19" s="658"/>
      <c r="BC19" s="658"/>
      <c r="BD19" s="658"/>
      <c r="BE19" s="658"/>
      <c r="BF19" s="658"/>
      <c r="BG19" s="658"/>
      <c r="BH19" s="658"/>
      <c r="BI19" s="658"/>
      <c r="BJ19" s="658"/>
      <c r="BK19" s="658"/>
      <c r="BL19" s="658"/>
      <c r="BM19" s="658"/>
      <c r="BN19" s="658"/>
      <c r="BO19" s="659"/>
      <c r="BP19" s="659"/>
      <c r="BQ19" s="659"/>
      <c r="BR19" s="659"/>
      <c r="BS19" s="659"/>
      <c r="BT19" s="6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row>
    <row r="20" spans="2:131" s="74" customFormat="1" ht="13.5" customHeight="1">
      <c r="B20" s="1259"/>
      <c r="C20" s="1260"/>
      <c r="D20" s="1325">
        <f>'TWW-DIM'!A13</f>
        <v>0</v>
      </c>
      <c r="E20" s="1326"/>
      <c r="F20" s="1326"/>
      <c r="G20" s="1326"/>
      <c r="H20" s="1326"/>
      <c r="I20" s="87"/>
      <c r="J20" s="87"/>
      <c r="K20" s="87"/>
      <c r="L20" s="87"/>
      <c r="M20" s="87"/>
      <c r="N20" s="87"/>
      <c r="O20" s="87"/>
      <c r="P20" s="88"/>
      <c r="Q20" s="87"/>
      <c r="R20" s="383"/>
      <c r="S20" s="87"/>
      <c r="T20" s="87"/>
      <c r="U20" s="87"/>
      <c r="V20" s="388"/>
      <c r="W20" s="87"/>
      <c r="X20" s="389"/>
      <c r="Y20" s="87"/>
      <c r="Z20" s="87"/>
      <c r="AA20" s="86"/>
      <c r="AB20" s="75"/>
      <c r="AC20" s="435"/>
      <c r="AD20" s="374"/>
      <c r="AE20" s="374"/>
      <c r="AF20" s="374"/>
      <c r="AG20" s="374"/>
      <c r="AH20" s="374"/>
      <c r="AI20" s="434"/>
      <c r="AJ20" s="88"/>
      <c r="AK20" s="87"/>
      <c r="AL20" s="88"/>
      <c r="AM20" s="87"/>
      <c r="AN20" s="383"/>
      <c r="AO20" s="87"/>
      <c r="AP20" s="87"/>
      <c r="AQ20" s="87"/>
      <c r="AR20" s="388"/>
      <c r="AS20" s="87"/>
      <c r="AT20" s="389"/>
      <c r="AU20" s="87"/>
      <c r="AV20" s="87"/>
      <c r="AW20" s="86"/>
      <c r="AX20" s="68"/>
      <c r="AY20" s="69"/>
      <c r="AZ20" s="1303" t="s">
        <v>263</v>
      </c>
      <c r="BA20" s="1304"/>
      <c r="BB20" s="1304"/>
      <c r="BC20" s="1304"/>
      <c r="BD20" s="1304"/>
      <c r="BE20" s="1304"/>
      <c r="BF20" s="1304"/>
      <c r="BG20" s="1304"/>
      <c r="BH20" s="1304"/>
      <c r="BI20" s="1304"/>
      <c r="BJ20" s="1304"/>
      <c r="BK20" s="1304"/>
      <c r="BL20" s="1304"/>
      <c r="BM20" s="1304"/>
      <c r="BN20" s="1304"/>
      <c r="BO20" s="1304"/>
      <c r="BP20" s="1304"/>
      <c r="BQ20" s="1304"/>
      <c r="BR20" s="1304"/>
      <c r="BS20" s="1304"/>
      <c r="BT20" s="1305"/>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row>
    <row r="21" spans="2:131" s="74" customFormat="1" ht="13.5" customHeight="1">
      <c r="B21" s="1259"/>
      <c r="C21" s="1260"/>
      <c r="D21" s="1327">
        <f>'TWW-DIM'!AP17</f>
        <v>0</v>
      </c>
      <c r="E21" s="1328"/>
      <c r="F21" s="94"/>
      <c r="G21" s="1276">
        <f>'TWW-DIM'!N13</f>
        <v>0</v>
      </c>
      <c r="H21" s="1277"/>
      <c r="I21" s="93" t="s">
        <v>72</v>
      </c>
      <c r="J21" s="1278">
        <f>'TWW-DIM'!$J$13</f>
        <v>0</v>
      </c>
      <c r="K21" s="1279"/>
      <c r="L21" s="1280"/>
      <c r="M21" s="93" t="s">
        <v>72</v>
      </c>
      <c r="N21" s="1281">
        <f>'TWW-DIM'!AA16</f>
        <v>0</v>
      </c>
      <c r="O21" s="1273"/>
      <c r="P21" s="1282">
        <f>IF(D20="","",J21/60*N21)</f>
        <v>0</v>
      </c>
      <c r="Q21" s="1283"/>
      <c r="R21" s="1284"/>
      <c r="S21" s="1283">
        <f>P21*(G21-N14)/(S25-N14)</f>
        <v>0</v>
      </c>
      <c r="T21" s="1283"/>
      <c r="U21" s="1283"/>
      <c r="V21" s="1285">
        <f>P21*(G21-N14)/(V25-N14)</f>
        <v>0</v>
      </c>
      <c r="W21" s="1283"/>
      <c r="X21" s="1286"/>
      <c r="Y21" s="1283">
        <f>P21*(G21-N14)/(Y25-N14)</f>
        <v>0</v>
      </c>
      <c r="Z21" s="1283"/>
      <c r="AA21" s="1287"/>
      <c r="AB21" s="75"/>
      <c r="AC21" s="435"/>
      <c r="AD21" s="374"/>
      <c r="AE21" s="374"/>
      <c r="AF21" s="374"/>
      <c r="AG21" s="374"/>
      <c r="AH21" s="374"/>
      <c r="AI21" s="434"/>
      <c r="AJ21" s="1272"/>
      <c r="AK21" s="1273"/>
      <c r="AL21" s="1282">
        <f>IF(D20="","",J21/60*AJ21)</f>
        <v>0</v>
      </c>
      <c r="AM21" s="1283"/>
      <c r="AN21" s="1284"/>
      <c r="AO21" s="1283">
        <f>AL21*(G21-N14)/(AO25-N14)</f>
        <v>0</v>
      </c>
      <c r="AP21" s="1283"/>
      <c r="AQ21" s="1283"/>
      <c r="AR21" s="1285">
        <f>AL21*(G21-N14)/(AR25-N14)</f>
        <v>0</v>
      </c>
      <c r="AS21" s="1283"/>
      <c r="AT21" s="1286"/>
      <c r="AU21" s="1283">
        <f>AL21*(G21-N14)/(AU25-N14)</f>
        <v>0</v>
      </c>
      <c r="AV21" s="1283"/>
      <c r="AW21" s="1287"/>
      <c r="AX21" s="68"/>
      <c r="AY21" s="69"/>
      <c r="AZ21" s="1303"/>
      <c r="BA21" s="1304"/>
      <c r="BB21" s="1304"/>
      <c r="BC21" s="1304"/>
      <c r="BD21" s="1304"/>
      <c r="BE21" s="1304"/>
      <c r="BF21" s="1304"/>
      <c r="BG21" s="1304"/>
      <c r="BH21" s="1304"/>
      <c r="BI21" s="1304"/>
      <c r="BJ21" s="1304"/>
      <c r="BK21" s="1304"/>
      <c r="BL21" s="1304"/>
      <c r="BM21" s="1304"/>
      <c r="BN21" s="1304"/>
      <c r="BO21" s="1304"/>
      <c r="BP21" s="1304"/>
      <c r="BQ21" s="1304"/>
      <c r="BR21" s="1304"/>
      <c r="BS21" s="1304"/>
      <c r="BT21" s="1305"/>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row>
    <row r="22" spans="2:131" s="74" customFormat="1" ht="13.5" customHeight="1">
      <c r="B22" s="1259"/>
      <c r="C22" s="1260"/>
      <c r="D22" s="1323"/>
      <c r="E22" s="1324"/>
      <c r="F22" s="1324"/>
      <c r="G22" s="1324"/>
      <c r="H22" s="1324"/>
      <c r="I22" s="330"/>
      <c r="J22" s="330"/>
      <c r="K22" s="330"/>
      <c r="L22" s="330"/>
      <c r="M22" s="330"/>
      <c r="N22" s="330"/>
      <c r="O22" s="330"/>
      <c r="P22" s="331"/>
      <c r="Q22" s="332"/>
      <c r="R22" s="384"/>
      <c r="S22" s="332"/>
      <c r="T22" s="332"/>
      <c r="U22" s="332"/>
      <c r="V22" s="390"/>
      <c r="W22" s="332"/>
      <c r="X22" s="391"/>
      <c r="Y22" s="332"/>
      <c r="Z22" s="332"/>
      <c r="AA22" s="333"/>
      <c r="AB22" s="75"/>
      <c r="AC22" s="435"/>
      <c r="AD22" s="374"/>
      <c r="AE22" s="374"/>
      <c r="AF22" s="374"/>
      <c r="AG22" s="374"/>
      <c r="AH22" s="374"/>
      <c r="AI22" s="434"/>
      <c r="AJ22" s="394"/>
      <c r="AK22" s="330"/>
      <c r="AL22" s="331"/>
      <c r="AM22" s="332"/>
      <c r="AN22" s="384"/>
      <c r="AO22" s="332"/>
      <c r="AP22" s="332"/>
      <c r="AQ22" s="332"/>
      <c r="AR22" s="390"/>
      <c r="AS22" s="332"/>
      <c r="AT22" s="391"/>
      <c r="AU22" s="332"/>
      <c r="AV22" s="332"/>
      <c r="AW22" s="333"/>
      <c r="AX22" s="68"/>
      <c r="AY22" s="69"/>
      <c r="AZ22" s="426"/>
      <c r="BA22" s="72"/>
      <c r="BB22" s="72"/>
      <c r="BC22" s="72"/>
      <c r="BD22" s="72"/>
      <c r="BE22" s="72"/>
      <c r="BF22" s="72"/>
      <c r="BG22" s="72"/>
      <c r="BH22" s="72"/>
      <c r="BI22" s="72"/>
      <c r="BJ22" s="72"/>
      <c r="BK22" s="72"/>
      <c r="BL22" s="72"/>
      <c r="BM22" s="72"/>
      <c r="BN22" s="72"/>
      <c r="BO22" s="73"/>
      <c r="BP22" s="73"/>
      <c r="BQ22" s="73"/>
      <c r="BR22" s="73"/>
      <c r="BS22" s="73"/>
      <c r="BT22" s="427"/>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row>
    <row r="23" spans="2:131" s="74" customFormat="1" ht="13.5" customHeight="1" thickBot="1">
      <c r="B23" s="1259"/>
      <c r="C23" s="1260"/>
      <c r="D23" s="334"/>
      <c r="E23" s="330"/>
      <c r="F23" s="330"/>
      <c r="G23" s="1329"/>
      <c r="H23" s="1330"/>
      <c r="I23" s="335" t="s">
        <v>72</v>
      </c>
      <c r="J23" s="1331"/>
      <c r="K23" s="1332"/>
      <c r="L23" s="1333"/>
      <c r="M23" s="335" t="s">
        <v>72</v>
      </c>
      <c r="N23" s="1334"/>
      <c r="O23" s="1335"/>
      <c r="P23" s="1336">
        <f>IF(D22="",0,J23/60*N23)</f>
        <v>0</v>
      </c>
      <c r="Q23" s="1337"/>
      <c r="R23" s="1338"/>
      <c r="S23" s="1337">
        <f>P23*(G23-N14)/(S25-N14)</f>
        <v>0</v>
      </c>
      <c r="T23" s="1337"/>
      <c r="U23" s="1337"/>
      <c r="V23" s="1339">
        <f>P23*(G23-N14)/(V25-N14)</f>
        <v>0</v>
      </c>
      <c r="W23" s="1337"/>
      <c r="X23" s="1340"/>
      <c r="Y23" s="1337">
        <f>P23*(G23-N14)/(Y25-N14)</f>
        <v>0</v>
      </c>
      <c r="Z23" s="1337"/>
      <c r="AA23" s="1343"/>
      <c r="AB23" s="75"/>
      <c r="AC23" s="436"/>
      <c r="AD23" s="437"/>
      <c r="AE23" s="437"/>
      <c r="AF23" s="437"/>
      <c r="AG23" s="437"/>
      <c r="AH23" s="437"/>
      <c r="AI23" s="438"/>
      <c r="AJ23" s="1344"/>
      <c r="AK23" s="1345"/>
      <c r="AL23" s="1336">
        <f>IF(D22="",0,J23/60*AJ23)</f>
        <v>0</v>
      </c>
      <c r="AM23" s="1337"/>
      <c r="AN23" s="1338"/>
      <c r="AO23" s="1337">
        <f>AL23*(G23-N14)/(AO25-N14)</f>
        <v>0</v>
      </c>
      <c r="AP23" s="1337"/>
      <c r="AQ23" s="1337"/>
      <c r="AR23" s="1339">
        <f>AL23*(G23-N14)/(AR25-N14)</f>
        <v>0</v>
      </c>
      <c r="AS23" s="1337"/>
      <c r="AT23" s="1340"/>
      <c r="AU23" s="1337">
        <f>AL23*(G23-N14)/(AU25-N14)</f>
        <v>0</v>
      </c>
      <c r="AV23" s="1337"/>
      <c r="AW23" s="1343"/>
      <c r="AX23" s="68"/>
      <c r="AY23" s="69"/>
      <c r="AZ23" s="426"/>
      <c r="BA23" s="72"/>
      <c r="BB23" s="72"/>
      <c r="BC23" s="72"/>
      <c r="BD23" s="72"/>
      <c r="BE23" s="72"/>
      <c r="BF23" s="72"/>
      <c r="BG23" s="72"/>
      <c r="BH23" s="72"/>
      <c r="BI23" s="72"/>
      <c r="BJ23" s="72"/>
      <c r="BK23" s="72"/>
      <c r="BL23" s="72"/>
      <c r="BM23" s="72"/>
      <c r="BN23" s="72"/>
      <c r="BO23" s="73"/>
      <c r="BP23" s="73"/>
      <c r="BQ23" s="73"/>
      <c r="BR23" s="73"/>
      <c r="BS23" s="73"/>
      <c r="BT23" s="427"/>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row>
    <row r="24" spans="2:131" s="74" customFormat="1" ht="13.5" customHeight="1" thickTop="1">
      <c r="B24" s="1259"/>
      <c r="C24" s="1261"/>
      <c r="D24" s="1288" t="s">
        <v>47</v>
      </c>
      <c r="E24" s="1289"/>
      <c r="F24" s="1289"/>
      <c r="G24" s="1289"/>
      <c r="H24" s="1289"/>
      <c r="I24" s="1292">
        <f>P24*60</f>
        <v>0</v>
      </c>
      <c r="J24" s="1292"/>
      <c r="K24" s="1292"/>
      <c r="L24" s="1293"/>
      <c r="M24" s="1294">
        <f>N23+N21+N19+N17</f>
        <v>0</v>
      </c>
      <c r="N24" s="1294"/>
      <c r="O24" s="1295"/>
      <c r="P24" s="1298">
        <f>P17+P19+P21+P23</f>
        <v>0</v>
      </c>
      <c r="Q24" s="1298"/>
      <c r="R24" s="1299"/>
      <c r="S24" s="1302">
        <f>S17+S19+S21+S23</f>
        <v>0</v>
      </c>
      <c r="T24" s="1302"/>
      <c r="U24" s="1302"/>
      <c r="V24" s="1341">
        <f>V17+V19+V21+V23</f>
        <v>0</v>
      </c>
      <c r="W24" s="1302"/>
      <c r="X24" s="1342"/>
      <c r="Y24" s="1302">
        <f>Y17+Y19+Y21+Y23</f>
        <v>0</v>
      </c>
      <c r="Z24" s="1302"/>
      <c r="AA24" s="1346"/>
      <c r="AB24" s="420"/>
      <c r="AC24" s="1358" t="s">
        <v>47</v>
      </c>
      <c r="AD24" s="1358"/>
      <c r="AE24" s="1358"/>
      <c r="AF24" s="1292">
        <f>AL24*60</f>
        <v>0</v>
      </c>
      <c r="AG24" s="1292"/>
      <c r="AH24" s="1292"/>
      <c r="AI24" s="1360"/>
      <c r="AJ24" s="1361">
        <f>AJ23+AJ21+AJ19+AJ17</f>
        <v>0</v>
      </c>
      <c r="AK24" s="1362"/>
      <c r="AL24" s="1298">
        <f>AL17+AL19+AL21+AL23</f>
        <v>0</v>
      </c>
      <c r="AM24" s="1298"/>
      <c r="AN24" s="1299"/>
      <c r="AO24" s="1302">
        <f>AO17+AO19+AO21+AO23</f>
        <v>0</v>
      </c>
      <c r="AP24" s="1302"/>
      <c r="AQ24" s="1302"/>
      <c r="AR24" s="1341">
        <f>AR17+AR19+AR21+AR23</f>
        <v>0</v>
      </c>
      <c r="AS24" s="1302"/>
      <c r="AT24" s="1342"/>
      <c r="AU24" s="1302">
        <f>AU17+AU19+AU21+AU23</f>
        <v>0</v>
      </c>
      <c r="AV24" s="1302"/>
      <c r="AW24" s="1346"/>
      <c r="AX24" s="68"/>
      <c r="AY24" s="69"/>
      <c r="AZ24" s="426"/>
      <c r="BA24" s="72"/>
      <c r="BB24" s="72"/>
      <c r="BC24" s="72"/>
      <c r="BD24" s="72"/>
      <c r="BE24" s="72"/>
      <c r="BF24" s="72"/>
      <c r="BG24" s="72"/>
      <c r="BH24" s="72"/>
      <c r="BI24" s="72"/>
      <c r="BJ24" s="72"/>
      <c r="BK24" s="72"/>
      <c r="BL24" s="72"/>
      <c r="BM24" s="72"/>
      <c r="BN24" s="72"/>
      <c r="BO24" s="73"/>
      <c r="BP24" s="73"/>
      <c r="BQ24" s="73"/>
      <c r="BR24" s="73"/>
      <c r="BS24" s="73"/>
      <c r="BT24" s="427"/>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row>
    <row r="25" spans="2:131" s="74" customFormat="1" ht="13.5" customHeight="1">
      <c r="B25" s="77"/>
      <c r="C25" s="76"/>
      <c r="D25" s="1290"/>
      <c r="E25" s="1291"/>
      <c r="F25" s="1291"/>
      <c r="G25" s="1291"/>
      <c r="H25" s="1291"/>
      <c r="I25" s="1347">
        <f>IF(P24=0,0,(P17*G17+P19*G19+P21*G21+P23*G23)/P24)</f>
        <v>0</v>
      </c>
      <c r="J25" s="1347"/>
      <c r="K25" s="1347"/>
      <c r="L25" s="1348"/>
      <c r="M25" s="1296"/>
      <c r="N25" s="1296"/>
      <c r="O25" s="1297"/>
      <c r="P25" s="1300"/>
      <c r="Q25" s="1300"/>
      <c r="R25" s="1301"/>
      <c r="S25" s="1349">
        <f>'TWW-DIM'!Q18</f>
        <v>60</v>
      </c>
      <c r="T25" s="1350"/>
      <c r="U25" s="1350"/>
      <c r="V25" s="1351">
        <f>'TWW-DIM'!Q17</f>
        <v>42</v>
      </c>
      <c r="W25" s="1350"/>
      <c r="X25" s="1350"/>
      <c r="Y25" s="1351">
        <f>'TWW-DIM'!Q16</f>
        <v>38</v>
      </c>
      <c r="Z25" s="1350"/>
      <c r="AA25" s="1352"/>
      <c r="AB25" s="421"/>
      <c r="AC25" s="1359"/>
      <c r="AD25" s="1359"/>
      <c r="AE25" s="1359"/>
      <c r="AF25" s="1347">
        <f>IF(AJ24=0,0,(AL17*G17+AL19*G19+AL21*G21+AL23*G23)/AL24)</f>
        <v>0</v>
      </c>
      <c r="AG25" s="1347"/>
      <c r="AH25" s="1347"/>
      <c r="AI25" s="1353"/>
      <c r="AJ25" s="1363"/>
      <c r="AK25" s="1364"/>
      <c r="AL25" s="1300"/>
      <c r="AM25" s="1300"/>
      <c r="AN25" s="1301"/>
      <c r="AO25" s="1354">
        <f>S25</f>
        <v>60</v>
      </c>
      <c r="AP25" s="1355"/>
      <c r="AQ25" s="1355"/>
      <c r="AR25" s="1356">
        <f>V25</f>
        <v>42</v>
      </c>
      <c r="AS25" s="1355"/>
      <c r="AT25" s="1355"/>
      <c r="AU25" s="1356">
        <f>Y25</f>
        <v>38</v>
      </c>
      <c r="AV25" s="1355"/>
      <c r="AW25" s="1357"/>
      <c r="AX25" s="68"/>
      <c r="AY25" s="69"/>
      <c r="AZ25" s="426"/>
      <c r="BA25" s="72"/>
      <c r="BB25" s="72"/>
      <c r="BC25" s="72"/>
      <c r="BD25" s="72"/>
      <c r="BE25" s="72"/>
      <c r="BF25" s="72"/>
      <c r="BG25" s="72"/>
      <c r="BH25" s="72"/>
      <c r="BI25" s="72"/>
      <c r="BJ25" s="72"/>
      <c r="BK25" s="72"/>
      <c r="BL25" s="72"/>
      <c r="BM25" s="72"/>
      <c r="BN25" s="72"/>
      <c r="BO25" s="73"/>
      <c r="BP25" s="73"/>
      <c r="BQ25" s="73"/>
      <c r="BR25" s="73"/>
      <c r="BS25" s="73"/>
      <c r="BT25" s="427"/>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row>
    <row r="26" spans="2:131" s="74" customFormat="1" ht="13.5" customHeight="1">
      <c r="AX26" s="68"/>
      <c r="AY26" s="69"/>
      <c r="AZ26" s="426"/>
      <c r="BA26" s="72"/>
      <c r="BB26" s="72"/>
      <c r="BC26" s="72"/>
      <c r="BD26" s="72"/>
      <c r="BE26" s="72"/>
      <c r="BF26" s="72"/>
      <c r="BG26" s="72"/>
      <c r="BH26" s="72"/>
      <c r="BI26" s="72"/>
      <c r="BJ26" s="72"/>
      <c r="BK26" s="72"/>
      <c r="BL26" s="72"/>
      <c r="BM26" s="72"/>
      <c r="BN26" s="72"/>
      <c r="BO26" s="73"/>
      <c r="BP26" s="73"/>
      <c r="BQ26" s="73"/>
      <c r="BR26" s="73"/>
      <c r="BS26" s="73"/>
      <c r="BT26" s="427"/>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row>
    <row r="27" spans="2:131" s="74" customFormat="1" ht="13.5" customHeight="1" thickBot="1">
      <c r="B27" s="1365" t="s">
        <v>55</v>
      </c>
      <c r="C27" s="410" t="s">
        <v>205</v>
      </c>
      <c r="D27" s="410"/>
      <c r="E27" s="410"/>
      <c r="F27" s="410"/>
      <c r="G27" s="410"/>
      <c r="H27" s="410"/>
      <c r="I27" s="410"/>
      <c r="J27" s="410"/>
      <c r="K27" s="410"/>
      <c r="L27" s="411"/>
      <c r="M27" s="411"/>
      <c r="N27" s="412"/>
      <c r="O27" s="413"/>
      <c r="P27" s="413"/>
      <c r="Q27" s="413"/>
      <c r="R27" s="413"/>
      <c r="S27" s="413"/>
      <c r="T27" s="413"/>
      <c r="U27" s="413"/>
      <c r="V27" s="413"/>
      <c r="W27" s="413"/>
      <c r="X27" s="413"/>
      <c r="Y27" s="413"/>
      <c r="Z27" s="413"/>
      <c r="AA27" s="413"/>
      <c r="AB27" s="1368" t="s">
        <v>204</v>
      </c>
      <c r="AC27" s="1369"/>
      <c r="AE27" s="381" t="s">
        <v>186</v>
      </c>
      <c r="AF27" s="98"/>
      <c r="AG27" s="98"/>
      <c r="AH27" s="98"/>
      <c r="AI27" s="98"/>
      <c r="AJ27" s="98"/>
      <c r="AK27" s="98"/>
      <c r="AL27" s="98"/>
      <c r="AM27" s="98"/>
      <c r="AN27" s="493"/>
      <c r="AO27" s="493"/>
      <c r="AP27" s="493"/>
      <c r="AQ27" s="493"/>
      <c r="AR27" s="493"/>
      <c r="AS27" s="493"/>
      <c r="AT27" s="493"/>
      <c r="AU27" s="493"/>
      <c r="AV27" s="493"/>
      <c r="AW27" s="494"/>
      <c r="AX27" s="68"/>
      <c r="AY27" s="69"/>
      <c r="AZ27" s="426"/>
      <c r="BA27" s="72"/>
      <c r="BB27" s="72"/>
      <c r="BC27" s="72"/>
      <c r="BD27" s="72"/>
      <c r="BE27" s="72"/>
      <c r="BF27" s="72"/>
      <c r="BG27" s="72"/>
      <c r="BH27" s="72"/>
      <c r="BI27" s="72"/>
      <c r="BJ27" s="72"/>
      <c r="BK27" s="72"/>
      <c r="BL27" s="72"/>
      <c r="BM27" s="72"/>
      <c r="BN27" s="72"/>
      <c r="BO27" s="73"/>
      <c r="BP27" s="73"/>
      <c r="BQ27" s="73"/>
      <c r="BR27" s="73"/>
      <c r="BS27" s="73"/>
      <c r="BT27" s="427"/>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row>
    <row r="28" spans="2:131" s="74" customFormat="1" ht="13.5" customHeight="1" thickBot="1">
      <c r="B28" s="1366"/>
      <c r="C28" s="84" t="str">
        <f>'TWW-DIM'!V16</f>
        <v>Hotel-Standard</v>
      </c>
      <c r="D28" s="84"/>
      <c r="E28" s="84"/>
      <c r="F28" s="84"/>
      <c r="G28" s="84"/>
      <c r="H28" s="84"/>
      <c r="I28" s="84"/>
      <c r="J28" s="84"/>
      <c r="K28" s="84"/>
      <c r="L28" s="83"/>
      <c r="M28" s="83"/>
      <c r="N28" s="1370" t="s">
        <v>71</v>
      </c>
      <c r="O28" s="1371"/>
      <c r="P28" s="1371"/>
      <c r="Q28" s="1371"/>
      <c r="R28" s="1371"/>
      <c r="S28" s="1372"/>
      <c r="T28" s="1373">
        <f>T31</f>
        <v>0</v>
      </c>
      <c r="U28" s="1374"/>
      <c r="V28" s="1375"/>
      <c r="W28" s="1376">
        <f>T28</f>
        <v>0</v>
      </c>
      <c r="X28" s="1374"/>
      <c r="Y28" s="1377"/>
      <c r="Z28" s="1378">
        <v>100</v>
      </c>
      <c r="AA28" s="1375"/>
      <c r="AB28" s="1379">
        <f>T28*4.1868*($I$25-$N$14)</f>
        <v>0</v>
      </c>
      <c r="AC28" s="1380"/>
      <c r="AE28" s="80"/>
      <c r="AF28" s="79"/>
      <c r="AG28" s="79"/>
      <c r="AH28" s="79"/>
      <c r="AI28" s="79"/>
      <c r="AJ28" s="79"/>
      <c r="AK28" s="79"/>
      <c r="AL28" s="79"/>
      <c r="AM28" s="495"/>
      <c r="AN28" s="495"/>
      <c r="AO28" s="495"/>
      <c r="AP28" s="495"/>
      <c r="AQ28" s="495"/>
      <c r="AR28" s="495"/>
      <c r="AS28" s="495"/>
      <c r="AT28" s="495"/>
      <c r="AU28" s="495"/>
      <c r="AV28" s="495"/>
      <c r="AW28" s="496"/>
      <c r="AX28" s="68"/>
      <c r="AY28" s="69"/>
      <c r="AZ28" s="426"/>
      <c r="BA28" s="72"/>
      <c r="BB28" s="72"/>
      <c r="BC28" s="72"/>
      <c r="BD28" s="72"/>
      <c r="BE28" s="72"/>
      <c r="BF28" s="72"/>
      <c r="BG28" s="72"/>
      <c r="BH28" s="72"/>
      <c r="BI28" s="72"/>
      <c r="BJ28" s="72"/>
      <c r="BK28" s="72"/>
      <c r="BL28" s="72"/>
      <c r="BM28" s="72"/>
      <c r="BN28" s="72"/>
      <c r="BO28" s="73"/>
      <c r="BP28" s="73"/>
      <c r="BQ28" s="73"/>
      <c r="BR28" s="73"/>
      <c r="BS28" s="73"/>
      <c r="BT28" s="427"/>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row>
    <row r="29" spans="2:131" s="74" customFormat="1" ht="13.5" customHeight="1" thickBot="1">
      <c r="B29" s="1367"/>
      <c r="C29" s="533" t="s">
        <v>70</v>
      </c>
      <c r="D29" s="534"/>
      <c r="E29" s="534"/>
      <c r="F29" s="534"/>
      <c r="G29" s="534"/>
      <c r="H29" s="534"/>
      <c r="I29" s="534"/>
      <c r="J29" s="534"/>
      <c r="K29" s="534"/>
      <c r="L29" s="534"/>
      <c r="M29" s="534"/>
      <c r="N29" s="1381" t="s">
        <v>69</v>
      </c>
      <c r="O29" s="1382"/>
      <c r="P29" s="1381" t="s">
        <v>68</v>
      </c>
      <c r="Q29" s="1383"/>
      <c r="R29" s="1382" t="s">
        <v>67</v>
      </c>
      <c r="S29" s="1384"/>
      <c r="T29" s="1385" t="s">
        <v>200</v>
      </c>
      <c r="U29" s="1386"/>
      <c r="V29" s="1387"/>
      <c r="W29" s="1388" t="s">
        <v>201</v>
      </c>
      <c r="X29" s="1389"/>
      <c r="Y29" s="1390"/>
      <c r="Z29" s="1391" t="s">
        <v>199</v>
      </c>
      <c r="AA29" s="1392"/>
      <c r="AB29" s="1393" t="s">
        <v>10</v>
      </c>
      <c r="AC29" s="1394"/>
      <c r="AE29" s="80"/>
      <c r="AF29" s="79"/>
      <c r="AG29" s="79"/>
      <c r="AH29" s="79"/>
      <c r="AI29" s="79"/>
      <c r="AJ29" s="79"/>
      <c r="AK29" s="79"/>
      <c r="AL29" s="79"/>
      <c r="AM29" s="495"/>
      <c r="AN29" s="495"/>
      <c r="AO29" s="495"/>
      <c r="AP29" s="495"/>
      <c r="AQ29" s="495"/>
      <c r="AR29" s="495"/>
      <c r="AS29" s="495"/>
      <c r="AT29" s="495"/>
      <c r="AU29" s="495"/>
      <c r="AV29" s="495"/>
      <c r="AW29" s="496"/>
      <c r="AX29" s="68"/>
      <c r="AY29" s="69"/>
      <c r="AZ29" s="426"/>
      <c r="BA29" s="72"/>
      <c r="BB29" s="72"/>
      <c r="BC29" s="72"/>
      <c r="BD29" s="72"/>
      <c r="BE29" s="72"/>
      <c r="BF29" s="72"/>
      <c r="BG29" s="72"/>
      <c r="BH29" s="72"/>
      <c r="BI29" s="72"/>
      <c r="BJ29" s="72"/>
      <c r="BK29" s="72"/>
      <c r="BL29" s="72"/>
      <c r="BM29" s="72"/>
      <c r="BN29" s="72"/>
      <c r="BO29" s="73"/>
      <c r="BP29" s="73"/>
      <c r="BQ29" s="73"/>
      <c r="BR29" s="73"/>
      <c r="BS29" s="73"/>
      <c r="BT29" s="427"/>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row>
    <row r="30" spans="2:131" s="74" customFormat="1" ht="13.5" customHeight="1" thickTop="1">
      <c r="B30" s="532" t="str">
        <f>IF($C$28=C30,"X","")</f>
        <v/>
      </c>
      <c r="C30" s="531" t="str">
        <f>'TWW-DIM'!BO7</f>
        <v>eigene Auswahl</v>
      </c>
      <c r="D30" s="531"/>
      <c r="E30" s="531"/>
      <c r="F30" s="531"/>
      <c r="G30" s="531"/>
      <c r="H30" s="531"/>
      <c r="I30" s="531"/>
      <c r="J30" s="531"/>
      <c r="K30" s="531"/>
      <c r="L30" s="531"/>
      <c r="M30" s="531"/>
      <c r="N30" s="1395"/>
      <c r="O30" s="1396"/>
      <c r="P30" s="1395"/>
      <c r="Q30" s="1397"/>
      <c r="R30" s="1396"/>
      <c r="S30" s="1398"/>
      <c r="T30" s="1399">
        <f>AL24</f>
        <v>0</v>
      </c>
      <c r="U30" s="1400"/>
      <c r="V30" s="1401"/>
      <c r="W30" s="1402" t="e">
        <f>T30*Z30/100</f>
        <v>#DIV/0!</v>
      </c>
      <c r="X30" s="1403"/>
      <c r="Y30" s="1404"/>
      <c r="Z30" s="1405" t="e">
        <f>T30/T28*100</f>
        <v>#DIV/0!</v>
      </c>
      <c r="AA30" s="1406"/>
      <c r="AB30" s="1407">
        <f>T30*4.1868*($AF$25-$N$14)</f>
        <v>0</v>
      </c>
      <c r="AC30" s="1408"/>
      <c r="AE30" s="80"/>
      <c r="AF30" s="79"/>
      <c r="AG30" s="79"/>
      <c r="AH30" s="79"/>
      <c r="AI30" s="79"/>
      <c r="AJ30" s="79"/>
      <c r="AK30" s="79"/>
      <c r="AL30" s="79"/>
      <c r="AM30" s="495"/>
      <c r="AN30" s="495"/>
      <c r="AO30" s="495"/>
      <c r="AP30" s="495"/>
      <c r="AQ30" s="495"/>
      <c r="AR30" s="495"/>
      <c r="AS30" s="495"/>
      <c r="AT30" s="495"/>
      <c r="AU30" s="495"/>
      <c r="AV30" s="495"/>
      <c r="AW30" s="496"/>
      <c r="AX30" s="68"/>
      <c r="AY30" s="69"/>
      <c r="AZ30" s="426"/>
      <c r="BA30" s="72"/>
      <c r="BB30" s="72"/>
      <c r="BC30" s="72"/>
      <c r="BD30" s="72"/>
      <c r="BE30" s="72"/>
      <c r="BF30" s="72"/>
      <c r="BG30" s="72"/>
      <c r="BH30" s="72"/>
      <c r="BI30" s="72"/>
      <c r="BJ30" s="72"/>
      <c r="BK30" s="72"/>
      <c r="BL30" s="72"/>
      <c r="BM30" s="72"/>
      <c r="BN30" s="72"/>
      <c r="BO30" s="73"/>
      <c r="BP30" s="73"/>
      <c r="BQ30" s="73"/>
      <c r="BR30" s="73"/>
      <c r="BS30" s="73"/>
      <c r="BT30" s="427"/>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row>
    <row r="31" spans="2:131" s="74" customFormat="1" ht="13.5" customHeight="1">
      <c r="B31" s="491" t="str">
        <f t="shared" ref="B31:B37" si="0">IF($C$28=C31,"X","")</f>
        <v/>
      </c>
      <c r="C31" s="79" t="str">
        <f>'TWW-DIM'!BO8</f>
        <v>Wohngebäude</v>
      </c>
      <c r="D31" s="79"/>
      <c r="E31" s="79"/>
      <c r="F31" s="79"/>
      <c r="G31" s="79"/>
      <c r="H31" s="79"/>
      <c r="I31" s="79"/>
      <c r="J31" s="79"/>
      <c r="K31" s="79"/>
      <c r="L31" s="79"/>
      <c r="M31" s="79"/>
      <c r="N31" s="1409">
        <v>1.48</v>
      </c>
      <c r="O31" s="1410"/>
      <c r="P31" s="1409">
        <v>0.19</v>
      </c>
      <c r="Q31" s="1411"/>
      <c r="R31" s="1410">
        <v>0.94</v>
      </c>
      <c r="S31" s="1412"/>
      <c r="T31" s="1413">
        <f>P24</f>
        <v>0</v>
      </c>
      <c r="U31" s="1414"/>
      <c r="V31" s="1415"/>
      <c r="W31" s="1419">
        <f>N31*(T31^P31)-R31</f>
        <v>-0.94</v>
      </c>
      <c r="X31" s="1420"/>
      <c r="Y31" s="1421"/>
      <c r="Z31" s="1422">
        <f>IF(T31=0,0,(W31/$T$31)*100)</f>
        <v>0</v>
      </c>
      <c r="AA31" s="1423"/>
      <c r="AB31" s="1424">
        <f t="shared" ref="AB31:AB37" si="1">W31*4.1868*($I$25-$N$14)</f>
        <v>39.355919999999998</v>
      </c>
      <c r="AC31" s="1425"/>
      <c r="AE31" s="80"/>
      <c r="AF31" s="79"/>
      <c r="AG31" s="79"/>
      <c r="AH31" s="79"/>
      <c r="AI31" s="79"/>
      <c r="AJ31" s="79"/>
      <c r="AK31" s="79"/>
      <c r="AL31" s="79"/>
      <c r="AM31" s="495"/>
      <c r="AN31" s="495"/>
      <c r="AO31" s="495"/>
      <c r="AP31" s="495"/>
      <c r="AQ31" s="495"/>
      <c r="AR31" s="495"/>
      <c r="AS31" s="495"/>
      <c r="AT31" s="495"/>
      <c r="AU31" s="495"/>
      <c r="AV31" s="495"/>
      <c r="AW31" s="496"/>
      <c r="AX31" s="68"/>
      <c r="AY31" s="69"/>
      <c r="AZ31" s="426"/>
      <c r="BA31" s="72"/>
      <c r="BB31" s="72"/>
      <c r="BC31" s="72"/>
      <c r="BD31" s="72"/>
      <c r="BE31" s="72"/>
      <c r="BF31" s="72"/>
      <c r="BG31" s="72"/>
      <c r="BH31" s="72"/>
      <c r="BI31" s="72"/>
      <c r="BJ31" s="72"/>
      <c r="BK31" s="72"/>
      <c r="BL31" s="72"/>
      <c r="BM31" s="72"/>
      <c r="BN31" s="72"/>
      <c r="BO31" s="73"/>
      <c r="BP31" s="73"/>
      <c r="BQ31" s="73"/>
      <c r="BR31" s="73"/>
      <c r="BS31" s="73"/>
      <c r="BT31" s="427"/>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row>
    <row r="32" spans="2:131" s="74" customFormat="1" ht="13.5" customHeight="1">
      <c r="B32" s="414" t="str">
        <f t="shared" si="0"/>
        <v/>
      </c>
      <c r="C32" s="336" t="str">
        <f>'TWW-DIM'!BO9</f>
        <v>Bettenhaus im Krankenhaus</v>
      </c>
      <c r="D32" s="81"/>
      <c r="E32" s="81"/>
      <c r="F32" s="81"/>
      <c r="G32" s="81"/>
      <c r="H32" s="81"/>
      <c r="I32" s="81"/>
      <c r="J32" s="81"/>
      <c r="K32" s="81"/>
      <c r="L32" s="81"/>
      <c r="M32" s="81"/>
      <c r="N32" s="1426">
        <v>0.75</v>
      </c>
      <c r="O32" s="1427"/>
      <c r="P32" s="1426">
        <v>0.44</v>
      </c>
      <c r="Q32" s="1428"/>
      <c r="R32" s="1427">
        <v>0.18</v>
      </c>
      <c r="S32" s="1429"/>
      <c r="T32" s="1413"/>
      <c r="U32" s="1414"/>
      <c r="V32" s="1415"/>
      <c r="W32" s="1430">
        <f>N32*(T31^P32)-R32</f>
        <v>-0.18</v>
      </c>
      <c r="X32" s="1431"/>
      <c r="Y32" s="1432"/>
      <c r="Z32" s="1433">
        <f>IF(T31=0,0,(W32/$T$31)*100)</f>
        <v>0</v>
      </c>
      <c r="AA32" s="1434"/>
      <c r="AB32" s="1435">
        <f t="shared" si="1"/>
        <v>7.5362399999999994</v>
      </c>
      <c r="AC32" s="1436"/>
      <c r="AE32" s="80"/>
      <c r="AF32" s="79"/>
      <c r="AG32" s="79"/>
      <c r="AH32" s="79"/>
      <c r="AI32" s="79"/>
      <c r="AJ32" s="79"/>
      <c r="AK32" s="79"/>
      <c r="AL32" s="79"/>
      <c r="AM32" s="495"/>
      <c r="AN32" s="495"/>
      <c r="AO32" s="495"/>
      <c r="AP32" s="495"/>
      <c r="AQ32" s="495"/>
      <c r="AR32" s="495"/>
      <c r="AS32" s="495"/>
      <c r="AT32" s="495"/>
      <c r="AU32" s="495"/>
      <c r="AV32" s="495"/>
      <c r="AW32" s="496"/>
      <c r="AX32" s="68"/>
      <c r="AY32" s="69"/>
      <c r="AZ32" s="426"/>
      <c r="BA32" s="72"/>
      <c r="BB32" s="72"/>
      <c r="BC32" s="72"/>
      <c r="BD32" s="72"/>
      <c r="BE32" s="72"/>
      <c r="BF32" s="72"/>
      <c r="BG32" s="72"/>
      <c r="BH32" s="72"/>
      <c r="BI32" s="72"/>
      <c r="BJ32" s="72"/>
      <c r="BK32" s="72"/>
      <c r="BL32" s="72"/>
      <c r="BM32" s="72"/>
      <c r="BN32" s="72"/>
      <c r="BO32" s="73"/>
      <c r="BP32" s="73"/>
      <c r="BQ32" s="73"/>
      <c r="BR32" s="73"/>
      <c r="BS32" s="73"/>
      <c r="BT32" s="427"/>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row>
    <row r="33" spans="1:131" s="74" customFormat="1" ht="13.5" customHeight="1">
      <c r="B33" s="414" t="str">
        <f t="shared" si="0"/>
        <v>X</v>
      </c>
      <c r="C33" s="336" t="str">
        <f>'TWW-DIM'!BO10</f>
        <v>Hotel-Standard</v>
      </c>
      <c r="D33" s="81"/>
      <c r="E33" s="81"/>
      <c r="F33" s="81"/>
      <c r="G33" s="81"/>
      <c r="H33" s="81"/>
      <c r="I33" s="81"/>
      <c r="J33" s="81"/>
      <c r="K33" s="81"/>
      <c r="L33" s="81"/>
      <c r="M33" s="81"/>
      <c r="N33" s="1426">
        <v>0.7</v>
      </c>
      <c r="O33" s="1427"/>
      <c r="P33" s="1426">
        <v>0.48</v>
      </c>
      <c r="Q33" s="1428"/>
      <c r="R33" s="1427">
        <v>0.13</v>
      </c>
      <c r="S33" s="1429"/>
      <c r="T33" s="1413"/>
      <c r="U33" s="1414"/>
      <c r="V33" s="1415"/>
      <c r="W33" s="1430">
        <f>N33*(T31^P33)-R33</f>
        <v>-0.13</v>
      </c>
      <c r="X33" s="1431"/>
      <c r="Y33" s="1432"/>
      <c r="Z33" s="1433">
        <f>IF(T31=0,0,(W33/$T$31)*100)</f>
        <v>0</v>
      </c>
      <c r="AA33" s="1434"/>
      <c r="AB33" s="1435">
        <f t="shared" si="1"/>
        <v>5.4428400000000003</v>
      </c>
      <c r="AC33" s="1436"/>
      <c r="AE33" s="80"/>
      <c r="AF33" s="79"/>
      <c r="AG33" s="79"/>
      <c r="AH33" s="79"/>
      <c r="AI33" s="79"/>
      <c r="AJ33" s="79"/>
      <c r="AK33" s="79"/>
      <c r="AL33" s="79"/>
      <c r="AM33" s="495"/>
      <c r="AN33" s="495"/>
      <c r="AO33" s="495"/>
      <c r="AP33" s="495"/>
      <c r="AQ33" s="495"/>
      <c r="AR33" s="495"/>
      <c r="AS33" s="495"/>
      <c r="AT33" s="495"/>
      <c r="AU33" s="495"/>
      <c r="AV33" s="495"/>
      <c r="AW33" s="496"/>
      <c r="AX33" s="68"/>
      <c r="AY33" s="69"/>
      <c r="AZ33" s="426"/>
      <c r="BA33" s="72"/>
      <c r="BB33" s="72"/>
      <c r="BC33" s="72"/>
      <c r="BD33" s="72"/>
      <c r="BE33" s="72"/>
      <c r="BF33" s="72"/>
      <c r="BG33" s="72"/>
      <c r="BH33" s="72"/>
      <c r="BI33" s="72"/>
      <c r="BJ33" s="72"/>
      <c r="BK33" s="72"/>
      <c r="BL33" s="72"/>
      <c r="BM33" s="72"/>
      <c r="BN33" s="72"/>
      <c r="BO33" s="73"/>
      <c r="BP33" s="73"/>
      <c r="BQ33" s="73"/>
      <c r="BR33" s="73"/>
      <c r="BS33" s="73"/>
      <c r="BT33" s="427"/>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row>
    <row r="34" spans="1:131" s="74" customFormat="1" ht="13.5" customHeight="1">
      <c r="B34" s="414" t="str">
        <f t="shared" si="0"/>
        <v/>
      </c>
      <c r="C34" s="336" t="str">
        <f>'TWW-DIM'!BO11</f>
        <v>Schule-Standard</v>
      </c>
      <c r="D34" s="81"/>
      <c r="E34" s="81"/>
      <c r="F34" s="81"/>
      <c r="G34" s="81"/>
      <c r="H34" s="81"/>
      <c r="I34" s="81"/>
      <c r="J34" s="81"/>
      <c r="K34" s="81"/>
      <c r="L34" s="81"/>
      <c r="M34" s="81"/>
      <c r="N34" s="1426">
        <v>0.91</v>
      </c>
      <c r="O34" s="1427"/>
      <c r="P34" s="1426">
        <v>0.31</v>
      </c>
      <c r="Q34" s="1428"/>
      <c r="R34" s="1427">
        <v>0.38</v>
      </c>
      <c r="S34" s="1429"/>
      <c r="T34" s="1413"/>
      <c r="U34" s="1414"/>
      <c r="V34" s="1415"/>
      <c r="W34" s="1430">
        <f>N34*(T31^P34)-R34</f>
        <v>-0.38</v>
      </c>
      <c r="X34" s="1431"/>
      <c r="Y34" s="1432"/>
      <c r="Z34" s="1433">
        <f>IF(T31=0,0,(W34/$T$31)*100)</f>
        <v>0</v>
      </c>
      <c r="AA34" s="1434"/>
      <c r="AB34" s="1435">
        <f t="shared" si="1"/>
        <v>15.909839999999999</v>
      </c>
      <c r="AC34" s="1436"/>
      <c r="AE34" s="80"/>
      <c r="AF34" s="79"/>
      <c r="AG34" s="79"/>
      <c r="AH34" s="79"/>
      <c r="AI34" s="79"/>
      <c r="AJ34" s="79"/>
      <c r="AK34" s="79"/>
      <c r="AL34" s="79"/>
      <c r="AM34" s="495"/>
      <c r="AN34" s="495"/>
      <c r="AO34" s="495"/>
      <c r="AP34" s="495"/>
      <c r="AQ34" s="495"/>
      <c r="AR34" s="495"/>
      <c r="AS34" s="495"/>
      <c r="AT34" s="495"/>
      <c r="AU34" s="495"/>
      <c r="AV34" s="495"/>
      <c r="AW34" s="496"/>
      <c r="AX34" s="68"/>
      <c r="AY34" s="69"/>
      <c r="AZ34" s="426"/>
      <c r="BA34" s="72"/>
      <c r="BB34" s="72"/>
      <c r="BC34" s="72"/>
      <c r="BD34" s="72"/>
      <c r="BE34" s="72"/>
      <c r="BF34" s="72"/>
      <c r="BG34" s="72"/>
      <c r="BH34" s="72"/>
      <c r="BI34" s="72"/>
      <c r="BJ34" s="72"/>
      <c r="BK34" s="72"/>
      <c r="BL34" s="72"/>
      <c r="BM34" s="72"/>
      <c r="BN34" s="72"/>
      <c r="BO34" s="73"/>
      <c r="BP34" s="73"/>
      <c r="BQ34" s="73"/>
      <c r="BR34" s="73"/>
      <c r="BS34" s="73"/>
      <c r="BT34" s="427"/>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row>
    <row r="35" spans="1:131" s="74" customFormat="1" ht="13.5" customHeight="1">
      <c r="B35" s="414" t="str">
        <f t="shared" si="0"/>
        <v/>
      </c>
      <c r="C35" s="336" t="str">
        <f>'TWW-DIM'!BO12</f>
        <v>Verwaltungsgebäude</v>
      </c>
      <c r="D35" s="81"/>
      <c r="E35" s="81"/>
      <c r="F35" s="81"/>
      <c r="G35" s="81"/>
      <c r="H35" s="81"/>
      <c r="I35" s="81"/>
      <c r="J35" s="81"/>
      <c r="K35" s="81"/>
      <c r="L35" s="81"/>
      <c r="M35" s="81"/>
      <c r="N35" s="1426">
        <v>0.91</v>
      </c>
      <c r="O35" s="1427"/>
      <c r="P35" s="1426">
        <v>0.31</v>
      </c>
      <c r="Q35" s="1428"/>
      <c r="R35" s="1427">
        <v>0.38</v>
      </c>
      <c r="S35" s="1429"/>
      <c r="T35" s="1413"/>
      <c r="U35" s="1414"/>
      <c r="V35" s="1415"/>
      <c r="W35" s="1430">
        <f>N35*T31^P35-R35</f>
        <v>-0.38</v>
      </c>
      <c r="X35" s="1431"/>
      <c r="Y35" s="1432"/>
      <c r="Z35" s="1433">
        <f>IF(T31=0,0,(W35/$T$31)*100)</f>
        <v>0</v>
      </c>
      <c r="AA35" s="1434"/>
      <c r="AB35" s="1435">
        <f t="shared" si="1"/>
        <v>15.909839999999999</v>
      </c>
      <c r="AC35" s="1436"/>
      <c r="AE35" s="80"/>
      <c r="AF35" s="79"/>
      <c r="AG35" s="79"/>
      <c r="AH35" s="79"/>
      <c r="AI35" s="79"/>
      <c r="AJ35" s="79"/>
      <c r="AK35" s="79"/>
      <c r="AL35" s="326"/>
      <c r="AM35" s="495"/>
      <c r="AN35" s="495"/>
      <c r="AO35" s="495"/>
      <c r="AP35" s="495"/>
      <c r="AQ35" s="495"/>
      <c r="AR35" s="495"/>
      <c r="AS35" s="495"/>
      <c r="AT35" s="495"/>
      <c r="AU35" s="495"/>
      <c r="AV35" s="495"/>
      <c r="AW35" s="496"/>
      <c r="AX35" s="68"/>
      <c r="AY35" s="69"/>
      <c r="AZ35" s="426"/>
      <c r="BA35" s="72"/>
      <c r="BB35" s="72"/>
      <c r="BC35" s="72"/>
      <c r="BD35" s="72"/>
      <c r="BE35" s="72"/>
      <c r="BF35" s="72"/>
      <c r="BG35" s="72"/>
      <c r="BH35" s="72"/>
      <c r="BI35" s="72"/>
      <c r="BJ35" s="72"/>
      <c r="BK35" s="72"/>
      <c r="BL35" s="72"/>
      <c r="BM35" s="72"/>
      <c r="BN35" s="72"/>
      <c r="BO35" s="73"/>
      <c r="BP35" s="73"/>
      <c r="BQ35" s="73"/>
      <c r="BR35" s="73"/>
      <c r="BS35" s="73"/>
      <c r="BT35" s="427"/>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row>
    <row r="36" spans="1:131" s="74" customFormat="1" ht="13.5" customHeight="1">
      <c r="B36" s="414" t="str">
        <f t="shared" si="0"/>
        <v/>
      </c>
      <c r="C36" s="336" t="str">
        <f>'TWW-DIM'!BO13</f>
        <v>Pflegeheim</v>
      </c>
      <c r="D36" s="81"/>
      <c r="E36" s="81"/>
      <c r="F36" s="81"/>
      <c r="G36" s="81"/>
      <c r="H36" s="81"/>
      <c r="I36" s="81"/>
      <c r="J36" s="81"/>
      <c r="K36" s="81"/>
      <c r="L36" s="81"/>
      <c r="M36" s="81"/>
      <c r="N36" s="1426">
        <v>1.48</v>
      </c>
      <c r="O36" s="1427"/>
      <c r="P36" s="1426">
        <v>0.19</v>
      </c>
      <c r="Q36" s="1428"/>
      <c r="R36" s="1427">
        <v>0.94</v>
      </c>
      <c r="S36" s="1429"/>
      <c r="T36" s="1413"/>
      <c r="U36" s="1414"/>
      <c r="V36" s="1415"/>
      <c r="W36" s="1430">
        <f>N36*T31^P36-R36</f>
        <v>-0.94</v>
      </c>
      <c r="X36" s="1431"/>
      <c r="Y36" s="1432"/>
      <c r="Z36" s="1433">
        <f>IF(T31=0,0,(W36/$T$31)*100)</f>
        <v>0</v>
      </c>
      <c r="AA36" s="1434"/>
      <c r="AB36" s="1435">
        <f t="shared" si="1"/>
        <v>39.355919999999998</v>
      </c>
      <c r="AC36" s="1436"/>
      <c r="AE36" s="80"/>
      <c r="AF36" s="79"/>
      <c r="AG36" s="79"/>
      <c r="AH36" s="79"/>
      <c r="AI36" s="79"/>
      <c r="AJ36" s="79"/>
      <c r="AK36" s="79"/>
      <c r="AL36" s="326"/>
      <c r="AM36" s="495"/>
      <c r="AN36" s="495"/>
      <c r="AO36" s="495"/>
      <c r="AP36" s="495"/>
      <c r="AQ36" s="495"/>
      <c r="AR36" s="495"/>
      <c r="AS36" s="495"/>
      <c r="AT36" s="495"/>
      <c r="AU36" s="495"/>
      <c r="AV36" s="495"/>
      <c r="AW36" s="496"/>
      <c r="AX36" s="68"/>
      <c r="AY36" s="69"/>
      <c r="AZ36" s="426"/>
      <c r="BA36" s="72"/>
      <c r="BB36" s="72"/>
      <c r="BC36" s="72"/>
      <c r="BD36" s="72"/>
      <c r="BE36" s="72"/>
      <c r="BF36" s="72"/>
      <c r="BG36" s="72"/>
      <c r="BH36" s="72"/>
      <c r="BI36" s="72"/>
      <c r="BJ36" s="72"/>
      <c r="BK36" s="72"/>
      <c r="BL36" s="72"/>
      <c r="BM36" s="72"/>
      <c r="BN36" s="72"/>
      <c r="BO36" s="73"/>
      <c r="BP36" s="73"/>
      <c r="BQ36" s="73"/>
      <c r="BR36" s="73"/>
      <c r="BS36" s="73"/>
      <c r="BT36" s="427"/>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row>
    <row r="37" spans="1:131" s="74" customFormat="1" ht="13.5" customHeight="1">
      <c r="B37" s="492" t="str">
        <f t="shared" si="0"/>
        <v/>
      </c>
      <c r="C37" s="415" t="str">
        <f>'TWW-DIM'!BO14</f>
        <v>Ausgewählte Entnahmestellen</v>
      </c>
      <c r="D37" s="76"/>
      <c r="E37" s="76"/>
      <c r="F37" s="76"/>
      <c r="G37" s="76"/>
      <c r="H37" s="76"/>
      <c r="I37" s="76"/>
      <c r="J37" s="76"/>
      <c r="K37" s="76"/>
      <c r="L37" s="76"/>
      <c r="M37" s="76"/>
      <c r="N37" s="1441">
        <v>1.4</v>
      </c>
      <c r="O37" s="1442"/>
      <c r="P37" s="1441">
        <v>0.14000000000000001</v>
      </c>
      <c r="Q37" s="1443"/>
      <c r="R37" s="1442">
        <v>0.92</v>
      </c>
      <c r="S37" s="1444"/>
      <c r="T37" s="1416"/>
      <c r="U37" s="1417"/>
      <c r="V37" s="1418"/>
      <c r="W37" s="1445">
        <f>N37*T31^P37-R37</f>
        <v>-0.92</v>
      </c>
      <c r="X37" s="1446"/>
      <c r="Y37" s="1447"/>
      <c r="Z37" s="1448">
        <f>IF(T31=0,0,(W37/$T$31)*100)</f>
        <v>0</v>
      </c>
      <c r="AA37" s="1449"/>
      <c r="AB37" s="1450">
        <f t="shared" si="1"/>
        <v>38.518560000000001</v>
      </c>
      <c r="AC37" s="1451"/>
      <c r="AE37" s="80"/>
      <c r="AF37" s="79"/>
      <c r="AG37" s="79"/>
      <c r="AH37" s="79"/>
      <c r="AI37" s="79"/>
      <c r="AJ37" s="79"/>
      <c r="AK37" s="79"/>
      <c r="AL37" s="326"/>
      <c r="AM37" s="326"/>
      <c r="AN37" s="326"/>
      <c r="AO37" s="326"/>
      <c r="AP37" s="326"/>
      <c r="AQ37" s="326"/>
      <c r="AR37" s="326"/>
      <c r="AS37" s="326"/>
      <c r="AT37" s="326"/>
      <c r="AU37" s="326"/>
      <c r="AV37" s="326"/>
      <c r="AW37" s="327"/>
      <c r="AX37" s="68"/>
      <c r="AY37" s="69"/>
      <c r="AZ37" s="426"/>
      <c r="BA37" s="72"/>
      <c r="BB37" s="72"/>
      <c r="BC37" s="72"/>
      <c r="BD37" s="72"/>
      <c r="BE37" s="72"/>
      <c r="BF37" s="72"/>
      <c r="BG37" s="72"/>
      <c r="BH37" s="72"/>
      <c r="BI37" s="72"/>
      <c r="BJ37" s="72"/>
      <c r="BK37" s="72"/>
      <c r="BL37" s="72"/>
      <c r="BM37" s="72"/>
      <c r="BN37" s="72"/>
      <c r="BO37" s="73"/>
      <c r="BP37" s="73"/>
      <c r="BQ37" s="73"/>
      <c r="BR37" s="73"/>
      <c r="BS37" s="73"/>
      <c r="BT37" s="427"/>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row>
    <row r="38" spans="1:131" s="74" customFormat="1" ht="13.5" customHeight="1">
      <c r="B38" s="1437" t="s">
        <v>61</v>
      </c>
      <c r="C38" s="1438"/>
      <c r="D38" s="1438"/>
      <c r="E38" s="1438"/>
      <c r="F38" s="1438"/>
      <c r="G38" s="1438"/>
      <c r="H38" s="1438"/>
      <c r="I38" s="1438"/>
      <c r="J38" s="1438"/>
      <c r="K38" s="1438"/>
      <c r="L38" s="1438"/>
      <c r="M38" s="1438"/>
      <c r="N38" s="1438"/>
      <c r="O38" s="1438"/>
      <c r="P38" s="1438"/>
      <c r="Q38" s="1438"/>
      <c r="R38" s="1438"/>
      <c r="S38" s="1438"/>
      <c r="T38" s="1438"/>
      <c r="U38" s="1438"/>
      <c r="V38" s="1438"/>
      <c r="W38" s="1438"/>
      <c r="X38" s="1438"/>
      <c r="Y38" s="1438"/>
      <c r="Z38" s="1438"/>
      <c r="AA38" s="1438"/>
      <c r="AB38" s="1438"/>
      <c r="AC38" s="1438"/>
      <c r="AD38" s="79"/>
      <c r="AE38" s="80"/>
      <c r="AF38" s="79"/>
      <c r="AG38" s="79"/>
      <c r="AH38" s="79"/>
      <c r="AI38" s="79"/>
      <c r="AJ38" s="79"/>
      <c r="AK38" s="79"/>
      <c r="AL38" s="326"/>
      <c r="AM38" s="326"/>
      <c r="AN38" s="326"/>
      <c r="AO38" s="326"/>
      <c r="AP38" s="326"/>
      <c r="AQ38" s="326"/>
      <c r="AR38" s="326"/>
      <c r="AS38" s="326"/>
      <c r="AT38" s="326"/>
      <c r="AU38" s="326"/>
      <c r="AV38" s="326"/>
      <c r="AW38" s="327"/>
      <c r="AX38" s="68"/>
      <c r="AY38" s="69"/>
      <c r="AZ38" s="426"/>
      <c r="BA38" s="72"/>
      <c r="BB38" s="72"/>
      <c r="BC38" s="72"/>
      <c r="BD38" s="72"/>
      <c r="BE38" s="72"/>
      <c r="BF38" s="72"/>
      <c r="BG38" s="72"/>
      <c r="BH38" s="72"/>
      <c r="BI38" s="72"/>
      <c r="BJ38" s="72"/>
      <c r="BK38" s="72"/>
      <c r="BL38" s="72"/>
      <c r="BM38" s="72"/>
      <c r="BN38" s="72"/>
      <c r="BO38" s="73"/>
      <c r="BP38" s="73"/>
      <c r="BQ38" s="73"/>
      <c r="BR38" s="73"/>
      <c r="BS38" s="73"/>
      <c r="BT38" s="427"/>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row>
    <row r="39" spans="1:131" s="74" customFormat="1" ht="13.5" customHeight="1">
      <c r="B39" s="1439"/>
      <c r="C39" s="1440"/>
      <c r="D39" s="1440"/>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1440"/>
      <c r="AA39" s="1440"/>
      <c r="AB39" s="1440"/>
      <c r="AC39" s="1440"/>
      <c r="AD39" s="76"/>
      <c r="AE39" s="77"/>
      <c r="AF39" s="76"/>
      <c r="AG39" s="76"/>
      <c r="AH39" s="76"/>
      <c r="AI39" s="76"/>
      <c r="AJ39" s="76"/>
      <c r="AK39" s="76"/>
      <c r="AL39" s="328"/>
      <c r="AM39" s="328"/>
      <c r="AN39" s="328"/>
      <c r="AO39" s="328"/>
      <c r="AP39" s="328"/>
      <c r="AQ39" s="328"/>
      <c r="AR39" s="328"/>
      <c r="AS39" s="328"/>
      <c r="AT39" s="328"/>
      <c r="AU39" s="328"/>
      <c r="AV39" s="328"/>
      <c r="AW39" s="329"/>
      <c r="AX39" s="68"/>
      <c r="AY39" s="69"/>
      <c r="AZ39" s="428"/>
      <c r="BA39" s="429"/>
      <c r="BB39" s="429"/>
      <c r="BC39" s="429"/>
      <c r="BD39" s="429"/>
      <c r="BE39" s="429"/>
      <c r="BF39" s="429"/>
      <c r="BG39" s="429"/>
      <c r="BH39" s="429"/>
      <c r="BI39" s="429"/>
      <c r="BJ39" s="429"/>
      <c r="BK39" s="429"/>
      <c r="BL39" s="429"/>
      <c r="BM39" s="429"/>
      <c r="BN39" s="429"/>
      <c r="BO39" s="430"/>
      <c r="BP39" s="430"/>
      <c r="BQ39" s="430"/>
      <c r="BR39" s="430"/>
      <c r="BS39" s="430"/>
      <c r="BT39" s="431"/>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row>
    <row r="40" spans="1:131" s="69" customFormat="1" ht="13.5" customHeight="1">
      <c r="A40" s="7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BA40" s="70"/>
      <c r="BB40" s="70"/>
      <c r="BC40" s="70"/>
      <c r="BD40" s="70"/>
      <c r="BE40" s="70"/>
      <c r="BF40" s="70"/>
      <c r="BG40" s="70"/>
      <c r="BH40" s="70"/>
      <c r="BI40" s="70"/>
      <c r="BJ40" s="70"/>
      <c r="BK40" s="70"/>
      <c r="BL40" s="70"/>
      <c r="BM40" s="70"/>
      <c r="BN40" s="70"/>
    </row>
    <row r="41" spans="1:131" s="69" customFormat="1" ht="13.5" customHeight="1">
      <c r="AX41" s="73"/>
      <c r="BA41" s="70"/>
      <c r="BB41" s="70"/>
      <c r="BC41" s="70"/>
      <c r="BD41" s="70"/>
      <c r="BE41" s="70"/>
      <c r="BF41" s="70"/>
      <c r="BG41" s="70"/>
      <c r="BH41" s="70"/>
      <c r="BI41" s="70"/>
      <c r="BJ41" s="70"/>
      <c r="BK41" s="70"/>
      <c r="BL41" s="70"/>
      <c r="BM41" s="70"/>
      <c r="BN41" s="70"/>
    </row>
    <row r="42" spans="1:131" s="69" customFormat="1" ht="13.5" customHeight="1">
      <c r="BA42" s="70"/>
      <c r="BB42" s="70"/>
      <c r="BC42" s="70"/>
      <c r="BD42" s="70"/>
      <c r="BE42" s="70"/>
      <c r="BF42" s="70"/>
      <c r="BG42" s="70"/>
      <c r="BH42" s="70"/>
      <c r="BI42" s="70"/>
      <c r="BJ42" s="70"/>
      <c r="BK42" s="70"/>
      <c r="BL42" s="70"/>
      <c r="BM42" s="70"/>
      <c r="BN42" s="70"/>
    </row>
    <row r="43" spans="1:131" s="69" customFormat="1" ht="13.5" customHeight="1">
      <c r="BA43" s="70"/>
      <c r="BB43" s="70"/>
      <c r="BC43" s="70"/>
      <c r="BD43" s="70"/>
      <c r="BE43" s="70"/>
      <c r="BF43" s="70"/>
      <c r="BG43" s="70"/>
      <c r="BH43" s="70"/>
      <c r="BI43" s="70"/>
      <c r="BJ43" s="70"/>
      <c r="BK43" s="70"/>
      <c r="BL43" s="70"/>
      <c r="BM43" s="70"/>
      <c r="BN43" s="70"/>
    </row>
    <row r="44" spans="1:131" s="69" customFormat="1" ht="13.5" customHeight="1">
      <c r="BA44" s="70"/>
      <c r="BB44" s="70"/>
      <c r="BC44" s="70"/>
      <c r="BD44" s="70"/>
      <c r="BE44" s="70"/>
      <c r="BF44" s="70"/>
      <c r="BG44" s="70"/>
      <c r="BH44" s="70"/>
      <c r="BI44" s="70"/>
      <c r="BJ44" s="70"/>
      <c r="BK44" s="70"/>
      <c r="BL44" s="70"/>
      <c r="BM44" s="70"/>
      <c r="BN44" s="70"/>
    </row>
    <row r="45" spans="1:131" s="69" customFormat="1" ht="13.5" customHeight="1">
      <c r="BA45" s="70"/>
      <c r="BB45" s="70"/>
      <c r="BC45" s="70"/>
      <c r="BD45" s="70"/>
      <c r="BE45" s="70"/>
      <c r="BF45" s="70"/>
      <c r="BG45" s="70"/>
      <c r="BH45" s="70"/>
      <c r="BI45" s="70"/>
      <c r="BJ45" s="70"/>
      <c r="BK45" s="70"/>
      <c r="BL45" s="70"/>
      <c r="BM45" s="70"/>
      <c r="BN45" s="70"/>
    </row>
    <row r="46" spans="1:131" s="69" customFormat="1" ht="13.5" customHeight="1">
      <c r="BA46" s="70"/>
      <c r="BB46" s="70"/>
      <c r="BC46" s="70"/>
      <c r="BD46" s="70"/>
      <c r="BE46" s="70"/>
      <c r="BF46" s="70"/>
      <c r="BG46" s="70"/>
      <c r="BH46" s="70"/>
      <c r="BI46" s="70"/>
      <c r="BJ46" s="70"/>
      <c r="BK46" s="70"/>
      <c r="BL46" s="70"/>
      <c r="BM46" s="70"/>
      <c r="BN46" s="70"/>
    </row>
    <row r="47" spans="1:131" s="69" customFormat="1" ht="13.5" customHeight="1">
      <c r="BA47" s="70"/>
      <c r="BB47" s="70"/>
      <c r="BC47" s="70"/>
      <c r="BD47" s="70"/>
      <c r="BE47" s="70"/>
      <c r="BF47" s="70"/>
      <c r="BG47" s="70"/>
      <c r="BH47" s="70"/>
      <c r="BI47" s="70"/>
      <c r="BJ47" s="70"/>
      <c r="BK47" s="70"/>
      <c r="BL47" s="70"/>
      <c r="BM47" s="70"/>
      <c r="BN47" s="70"/>
    </row>
    <row r="48" spans="1:131" s="69" customFormat="1" ht="13.5" customHeight="1">
      <c r="BA48" s="70"/>
      <c r="BB48" s="70"/>
      <c r="BC48" s="70"/>
      <c r="BD48" s="70"/>
      <c r="BE48" s="70"/>
      <c r="BF48" s="70"/>
      <c r="BG48" s="70"/>
      <c r="BH48" s="70"/>
      <c r="BI48" s="70"/>
      <c r="BJ48" s="70"/>
      <c r="BK48" s="70"/>
      <c r="BL48" s="70"/>
      <c r="BM48" s="70"/>
      <c r="BN48" s="70"/>
    </row>
    <row r="49" spans="1:66" s="69" customFormat="1" ht="13.5" customHeight="1">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row>
    <row r="50" spans="1:66" s="69" customFormat="1" ht="13.5" customHeight="1">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row>
    <row r="51" spans="1:66" s="69" customFormat="1" ht="13.5" customHeight="1">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row>
    <row r="52" spans="1:66" s="69" customFormat="1" ht="13.5" customHeight="1">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row>
    <row r="53" spans="1:66" s="69" customFormat="1" ht="13.5" customHeight="1">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row>
    <row r="54" spans="1:66" s="69" customFormat="1" ht="13.5" customHeight="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1:66" s="69" customFormat="1" ht="13.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row>
    <row r="56" spans="1:66" s="69" customFormat="1" ht="13.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row>
    <row r="57" spans="1:66" s="69" customFormat="1" ht="13.5" customHeight="1">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row>
    <row r="58" spans="1:66" s="69" customFormat="1" ht="13.5"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row>
    <row r="59" spans="1:66" s="69" customFormat="1" ht="13.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row>
    <row r="60" spans="1:66" s="69" customFormat="1" ht="13.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1:66" s="69" customFormat="1" ht="13.5"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1:66" s="69" customFormat="1" ht="13.5" customHeight="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s="69" customFormat="1" ht="13.5"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s="69" customFormat="1" ht="13.5" customHeight="1">
      <c r="BA64" s="70"/>
      <c r="BB64" s="70"/>
      <c r="BC64" s="70"/>
      <c r="BD64" s="70"/>
      <c r="BE64" s="70"/>
      <c r="BF64" s="70"/>
      <c r="BG64" s="70"/>
      <c r="BH64" s="70"/>
      <c r="BI64" s="70"/>
      <c r="BJ64" s="70"/>
      <c r="BK64" s="70"/>
      <c r="BL64" s="70"/>
      <c r="BM64" s="70"/>
      <c r="BN64" s="70"/>
    </row>
    <row r="65" spans="53:66" s="69" customFormat="1" ht="13.5" customHeight="1">
      <c r="BA65" s="70"/>
      <c r="BB65" s="70"/>
      <c r="BC65" s="70"/>
      <c r="BD65" s="70"/>
      <c r="BE65" s="70"/>
      <c r="BF65" s="70"/>
      <c r="BG65" s="70"/>
      <c r="BH65" s="70"/>
      <c r="BI65" s="70"/>
      <c r="BJ65" s="70"/>
      <c r="BK65" s="70"/>
      <c r="BL65" s="70"/>
      <c r="BM65" s="70"/>
      <c r="BN65" s="70"/>
    </row>
    <row r="66" spans="53:66" s="69" customFormat="1" ht="13.5" customHeight="1">
      <c r="BA66" s="70"/>
      <c r="BB66" s="70"/>
      <c r="BC66" s="70"/>
      <c r="BD66" s="70"/>
      <c r="BE66" s="70"/>
      <c r="BF66" s="70"/>
      <c r="BG66" s="70"/>
      <c r="BH66" s="70"/>
      <c r="BI66" s="70"/>
      <c r="BJ66" s="70"/>
      <c r="BK66" s="70"/>
      <c r="BL66" s="70"/>
      <c r="BM66" s="70"/>
      <c r="BN66" s="70"/>
    </row>
    <row r="67" spans="53:66" s="69" customFormat="1" ht="13.5" customHeight="1">
      <c r="BA67" s="70"/>
      <c r="BB67" s="70"/>
      <c r="BC67" s="70"/>
      <c r="BD67" s="70"/>
      <c r="BE67" s="70"/>
      <c r="BF67" s="70"/>
      <c r="BG67" s="70"/>
      <c r="BH67" s="70"/>
      <c r="BI67" s="70"/>
      <c r="BJ67" s="70"/>
      <c r="BK67" s="70"/>
      <c r="BL67" s="70"/>
      <c r="BM67" s="70"/>
      <c r="BN67" s="70"/>
    </row>
    <row r="68" spans="53:66" s="69" customFormat="1" ht="13.5" customHeight="1">
      <c r="BA68" s="70"/>
      <c r="BB68" s="70"/>
      <c r="BC68" s="70"/>
      <c r="BD68" s="70"/>
      <c r="BE68" s="70"/>
      <c r="BF68" s="70"/>
      <c r="BG68" s="70"/>
      <c r="BH68" s="70"/>
      <c r="BI68" s="70"/>
      <c r="BJ68" s="70"/>
      <c r="BK68" s="70"/>
      <c r="BL68" s="70"/>
      <c r="BM68" s="70"/>
      <c r="BN68" s="70"/>
    </row>
    <row r="69" spans="53:66" s="69" customFormat="1" ht="13.5" customHeight="1">
      <c r="BA69" s="70"/>
      <c r="BB69" s="70"/>
      <c r="BC69" s="70"/>
      <c r="BD69" s="70"/>
      <c r="BE69" s="70"/>
      <c r="BF69" s="70"/>
      <c r="BG69" s="70"/>
      <c r="BH69" s="70"/>
      <c r="BI69" s="70"/>
      <c r="BJ69" s="70"/>
      <c r="BK69" s="70"/>
      <c r="BL69" s="70"/>
      <c r="BM69" s="70"/>
      <c r="BN69" s="70"/>
    </row>
    <row r="70" spans="53:66" s="69" customFormat="1" ht="13.5" customHeight="1">
      <c r="BA70" s="70"/>
      <c r="BB70" s="70"/>
      <c r="BC70" s="70"/>
      <c r="BD70" s="70"/>
      <c r="BE70" s="70"/>
      <c r="BF70" s="70"/>
      <c r="BG70" s="70"/>
      <c r="BH70" s="70"/>
      <c r="BI70" s="70"/>
      <c r="BJ70" s="70"/>
      <c r="BK70" s="70"/>
      <c r="BL70" s="70"/>
      <c r="BM70" s="70"/>
      <c r="BN70" s="70"/>
    </row>
    <row r="71" spans="53:66" s="69" customFormat="1" ht="13.5" customHeight="1">
      <c r="BA71" s="70"/>
      <c r="BB71" s="70"/>
      <c r="BC71" s="70"/>
      <c r="BD71" s="70"/>
      <c r="BE71" s="70"/>
      <c r="BF71" s="70"/>
      <c r="BG71" s="70"/>
      <c r="BH71" s="70"/>
      <c r="BI71" s="70"/>
      <c r="BJ71" s="70"/>
      <c r="BK71" s="70"/>
      <c r="BL71" s="70"/>
      <c r="BM71" s="70"/>
      <c r="BN71" s="70"/>
    </row>
    <row r="72" spans="53:66" s="69" customFormat="1" ht="13.5" customHeight="1">
      <c r="BA72" s="70"/>
      <c r="BB72" s="70"/>
      <c r="BC72" s="70"/>
      <c r="BD72" s="70"/>
      <c r="BE72" s="70"/>
      <c r="BF72" s="70"/>
      <c r="BG72" s="70"/>
      <c r="BH72" s="70"/>
      <c r="BI72" s="70"/>
      <c r="BJ72" s="70"/>
      <c r="BK72" s="70"/>
      <c r="BL72" s="70"/>
      <c r="BM72" s="70"/>
      <c r="BN72" s="70"/>
    </row>
    <row r="73" spans="53:66" s="69" customFormat="1" ht="13.5" customHeight="1">
      <c r="BA73" s="70"/>
      <c r="BB73" s="70"/>
      <c r="BC73" s="70"/>
      <c r="BD73" s="70"/>
      <c r="BE73" s="70"/>
      <c r="BF73" s="70"/>
      <c r="BG73" s="70"/>
      <c r="BH73" s="70"/>
      <c r="BI73" s="70"/>
      <c r="BJ73" s="70"/>
      <c r="BK73" s="70"/>
      <c r="BL73" s="70"/>
      <c r="BM73" s="70"/>
      <c r="BN73" s="70"/>
    </row>
    <row r="74" spans="53:66" s="69" customFormat="1" ht="13.5" customHeight="1">
      <c r="BA74" s="70"/>
      <c r="BB74" s="70"/>
      <c r="BC74" s="70"/>
      <c r="BD74" s="70"/>
      <c r="BE74" s="70"/>
      <c r="BF74" s="70"/>
      <c r="BG74" s="70"/>
      <c r="BH74" s="70"/>
      <c r="BI74" s="70"/>
      <c r="BJ74" s="70"/>
      <c r="BK74" s="70"/>
      <c r="BL74" s="70"/>
      <c r="BM74" s="70"/>
      <c r="BN74" s="70"/>
    </row>
    <row r="75" spans="53:66" s="69" customFormat="1" ht="13.5" customHeight="1">
      <c r="BA75" s="70"/>
      <c r="BB75" s="70"/>
      <c r="BC75" s="70"/>
      <c r="BD75" s="70"/>
      <c r="BE75" s="70"/>
      <c r="BF75" s="70"/>
      <c r="BG75" s="70"/>
      <c r="BH75" s="70"/>
      <c r="BI75" s="70"/>
      <c r="BJ75" s="70"/>
      <c r="BK75" s="70"/>
      <c r="BL75" s="70"/>
      <c r="BM75" s="70"/>
      <c r="BN75" s="70"/>
    </row>
    <row r="76" spans="53:66" s="69" customFormat="1" ht="13.5" customHeight="1">
      <c r="BA76" s="70"/>
      <c r="BB76" s="70"/>
      <c r="BC76" s="70"/>
      <c r="BD76" s="70"/>
      <c r="BE76" s="70"/>
      <c r="BF76" s="70"/>
      <c r="BG76" s="70"/>
      <c r="BH76" s="70"/>
      <c r="BI76" s="70"/>
      <c r="BJ76" s="70"/>
      <c r="BK76" s="70"/>
      <c r="BL76" s="70"/>
      <c r="BM76" s="70"/>
      <c r="BN76" s="70"/>
    </row>
    <row r="77" spans="53:66" s="69" customFormat="1" ht="13.5" customHeight="1">
      <c r="BA77" s="70"/>
      <c r="BB77" s="70"/>
      <c r="BC77" s="70"/>
      <c r="BD77" s="70"/>
      <c r="BE77" s="70"/>
      <c r="BF77" s="70"/>
      <c r="BG77" s="70"/>
      <c r="BH77" s="70"/>
      <c r="BI77" s="70"/>
      <c r="BJ77" s="70"/>
      <c r="BK77" s="70"/>
      <c r="BL77" s="70"/>
      <c r="BM77" s="70"/>
      <c r="BN77" s="70"/>
    </row>
    <row r="78" spans="53:66" s="69" customFormat="1" ht="13.5" customHeight="1">
      <c r="BA78" s="70"/>
      <c r="BB78" s="70"/>
      <c r="BC78" s="70"/>
      <c r="BD78" s="70"/>
      <c r="BE78" s="70"/>
      <c r="BF78" s="70"/>
      <c r="BG78" s="70"/>
      <c r="BH78" s="70"/>
      <c r="BI78" s="70"/>
      <c r="BJ78" s="70"/>
      <c r="BK78" s="70"/>
      <c r="BL78" s="70"/>
      <c r="BM78" s="70"/>
      <c r="BN78" s="70"/>
    </row>
    <row r="79" spans="53:66" s="69" customFormat="1" ht="13.5" customHeight="1">
      <c r="BA79" s="70"/>
      <c r="BB79" s="70"/>
      <c r="BC79" s="70"/>
      <c r="BD79" s="70"/>
      <c r="BE79" s="70"/>
      <c r="BF79" s="70"/>
      <c r="BG79" s="70"/>
      <c r="BH79" s="70"/>
      <c r="BI79" s="70"/>
      <c r="BJ79" s="70"/>
      <c r="BK79" s="70"/>
      <c r="BL79" s="70"/>
      <c r="BM79" s="70"/>
      <c r="BN79" s="70"/>
    </row>
    <row r="80" spans="53:66" s="69" customFormat="1" ht="13.5" customHeight="1">
      <c r="BA80" s="70"/>
      <c r="BB80" s="70"/>
      <c r="BC80" s="70"/>
      <c r="BD80" s="70"/>
      <c r="BE80" s="70"/>
      <c r="BF80" s="70"/>
      <c r="BG80" s="70"/>
      <c r="BH80" s="70"/>
      <c r="BI80" s="70"/>
      <c r="BJ80" s="70"/>
      <c r="BK80" s="70"/>
      <c r="BL80" s="70"/>
      <c r="BM80" s="70"/>
      <c r="BN80" s="70"/>
    </row>
    <row r="81" spans="53:66" s="69" customFormat="1" ht="13.5" customHeight="1">
      <c r="BA81" s="70"/>
      <c r="BB81" s="70"/>
      <c r="BC81" s="70"/>
      <c r="BD81" s="70"/>
      <c r="BE81" s="70"/>
      <c r="BF81" s="70"/>
      <c r="BG81" s="70"/>
      <c r="BH81" s="70"/>
      <c r="BI81" s="70"/>
      <c r="BJ81" s="70"/>
      <c r="BK81" s="70"/>
      <c r="BL81" s="70"/>
      <c r="BM81" s="70"/>
      <c r="BN81" s="70"/>
    </row>
    <row r="82" spans="53:66" s="69" customFormat="1" ht="13.5" customHeight="1">
      <c r="BA82" s="70"/>
      <c r="BB82" s="70"/>
      <c r="BC82" s="70"/>
      <c r="BD82" s="70"/>
      <c r="BE82" s="70"/>
      <c r="BF82" s="70"/>
      <c r="BG82" s="70"/>
      <c r="BH82" s="70"/>
      <c r="BI82" s="70"/>
      <c r="BJ82" s="70"/>
      <c r="BK82" s="70"/>
      <c r="BL82" s="70"/>
      <c r="BM82" s="70"/>
      <c r="BN82" s="70"/>
    </row>
    <row r="83" spans="53:66" s="69" customFormat="1" ht="13.5" customHeight="1">
      <c r="BA83" s="70"/>
      <c r="BB83" s="70"/>
      <c r="BC83" s="70"/>
      <c r="BD83" s="70"/>
      <c r="BE83" s="70"/>
      <c r="BF83" s="70"/>
      <c r="BG83" s="70"/>
      <c r="BH83" s="70"/>
      <c r="BI83" s="70"/>
      <c r="BJ83" s="70"/>
      <c r="BK83" s="70"/>
      <c r="BL83" s="70"/>
      <c r="BM83" s="70"/>
      <c r="BN83" s="70"/>
    </row>
    <row r="84" spans="53:66" s="69" customFormat="1" ht="13.5" customHeight="1">
      <c r="BA84" s="70"/>
      <c r="BB84" s="70"/>
      <c r="BC84" s="70"/>
      <c r="BD84" s="70"/>
      <c r="BE84" s="70"/>
      <c r="BF84" s="70"/>
      <c r="BG84" s="70"/>
      <c r="BH84" s="70"/>
      <c r="BI84" s="70"/>
      <c r="BJ84" s="70"/>
      <c r="BK84" s="70"/>
      <c r="BL84" s="70"/>
      <c r="BM84" s="70"/>
      <c r="BN84" s="70"/>
    </row>
    <row r="85" spans="53:66" s="69" customFormat="1" ht="13.5" customHeight="1">
      <c r="BA85" s="70"/>
      <c r="BB85" s="70"/>
      <c r="BC85" s="70"/>
      <c r="BD85" s="70"/>
      <c r="BE85" s="70"/>
      <c r="BF85" s="70"/>
      <c r="BG85" s="70"/>
      <c r="BH85" s="70"/>
      <c r="BI85" s="70"/>
      <c r="BJ85" s="70"/>
      <c r="BK85" s="70"/>
      <c r="BL85" s="70"/>
      <c r="BM85" s="70"/>
      <c r="BN85" s="70"/>
    </row>
    <row r="86" spans="53:66" s="69" customFormat="1" ht="13.5" customHeight="1">
      <c r="BA86" s="70"/>
      <c r="BB86" s="70"/>
      <c r="BC86" s="70"/>
      <c r="BD86" s="70"/>
      <c r="BE86" s="70"/>
      <c r="BF86" s="70"/>
      <c r="BG86" s="70"/>
      <c r="BH86" s="70"/>
      <c r="BI86" s="70"/>
      <c r="BJ86" s="70"/>
      <c r="BK86" s="70"/>
      <c r="BL86" s="70"/>
      <c r="BM86" s="70"/>
      <c r="BN86" s="70"/>
    </row>
    <row r="87" spans="53:66" s="69" customFormat="1" ht="13.5" customHeight="1">
      <c r="BA87" s="70"/>
      <c r="BB87" s="70"/>
      <c r="BC87" s="70"/>
      <c r="BD87" s="70"/>
      <c r="BE87" s="70"/>
      <c r="BF87" s="70"/>
      <c r="BG87" s="70"/>
      <c r="BH87" s="70"/>
      <c r="BI87" s="70"/>
      <c r="BJ87" s="70"/>
      <c r="BK87" s="70"/>
      <c r="BL87" s="70"/>
      <c r="BM87" s="70"/>
      <c r="BN87" s="70"/>
    </row>
    <row r="88" spans="53:66" s="69" customFormat="1" ht="13.5" customHeight="1">
      <c r="BA88" s="70"/>
      <c r="BB88" s="70"/>
      <c r="BC88" s="70"/>
      <c r="BD88" s="70"/>
      <c r="BE88" s="70"/>
      <c r="BF88" s="70"/>
      <c r="BG88" s="70"/>
      <c r="BH88" s="70"/>
      <c r="BI88" s="70"/>
      <c r="BJ88" s="70"/>
      <c r="BK88" s="70"/>
      <c r="BL88" s="70"/>
      <c r="BM88" s="70"/>
      <c r="BN88" s="70"/>
    </row>
    <row r="89" spans="53:66" s="69" customFormat="1" ht="13.5" customHeight="1">
      <c r="BA89" s="70"/>
      <c r="BB89" s="70"/>
      <c r="BC89" s="70"/>
      <c r="BD89" s="70"/>
      <c r="BE89" s="70"/>
      <c r="BF89" s="70"/>
      <c r="BG89" s="70"/>
      <c r="BH89" s="70"/>
      <c r="BI89" s="70"/>
      <c r="BJ89" s="70"/>
      <c r="BK89" s="70"/>
      <c r="BL89" s="70"/>
      <c r="BM89" s="70"/>
      <c r="BN89" s="70"/>
    </row>
    <row r="90" spans="53:66" s="69" customFormat="1" ht="13.5" customHeight="1">
      <c r="BA90" s="70"/>
      <c r="BB90" s="70"/>
      <c r="BC90" s="70"/>
      <c r="BD90" s="70"/>
      <c r="BE90" s="70"/>
      <c r="BF90" s="70"/>
      <c r="BG90" s="70"/>
      <c r="BH90" s="70"/>
      <c r="BI90" s="70"/>
      <c r="BJ90" s="70"/>
      <c r="BK90" s="70"/>
      <c r="BL90" s="70"/>
      <c r="BM90" s="70"/>
      <c r="BN90" s="70"/>
    </row>
    <row r="91" spans="53:66" s="69" customFormat="1" ht="13.5" customHeight="1">
      <c r="BA91" s="70"/>
      <c r="BB91" s="70"/>
      <c r="BC91" s="70"/>
      <c r="BD91" s="70"/>
      <c r="BE91" s="70"/>
      <c r="BF91" s="70"/>
      <c r="BG91" s="70"/>
      <c r="BH91" s="70"/>
      <c r="BI91" s="70"/>
      <c r="BJ91" s="70"/>
      <c r="BK91" s="70"/>
      <c r="BL91" s="70"/>
      <c r="BM91" s="70"/>
      <c r="BN91" s="70"/>
    </row>
    <row r="92" spans="53:66" s="69" customFormat="1" ht="13.5" customHeight="1">
      <c r="BA92" s="70"/>
      <c r="BB92" s="70"/>
      <c r="BC92" s="70"/>
      <c r="BD92" s="70"/>
      <c r="BE92" s="70"/>
      <c r="BF92" s="70"/>
      <c r="BG92" s="70"/>
      <c r="BH92" s="70"/>
      <c r="BI92" s="70"/>
      <c r="BJ92" s="70"/>
      <c r="BK92" s="70"/>
      <c r="BL92" s="70"/>
      <c r="BM92" s="70"/>
      <c r="BN92" s="70"/>
    </row>
    <row r="93" spans="53:66" s="69" customFormat="1" ht="13.5" customHeight="1">
      <c r="BA93" s="70"/>
      <c r="BB93" s="70"/>
      <c r="BC93" s="70"/>
      <c r="BD93" s="70"/>
      <c r="BE93" s="70"/>
      <c r="BF93" s="70"/>
      <c r="BG93" s="70"/>
      <c r="BH93" s="70"/>
      <c r="BI93" s="70"/>
      <c r="BJ93" s="70"/>
      <c r="BK93" s="70"/>
      <c r="BL93" s="70"/>
      <c r="BM93" s="70"/>
      <c r="BN93" s="70"/>
    </row>
    <row r="94" spans="53:66" s="69" customFormat="1" ht="13.5" customHeight="1">
      <c r="BA94" s="70"/>
      <c r="BB94" s="70"/>
      <c r="BC94" s="70"/>
      <c r="BD94" s="70"/>
      <c r="BE94" s="70"/>
      <c r="BF94" s="70"/>
      <c r="BG94" s="70"/>
      <c r="BH94" s="70"/>
      <c r="BI94" s="70"/>
      <c r="BJ94" s="70"/>
      <c r="BK94" s="70"/>
      <c r="BL94" s="70"/>
      <c r="BM94" s="70"/>
      <c r="BN94" s="70"/>
    </row>
    <row r="95" spans="53:66" s="69" customFormat="1" ht="13.5" customHeight="1">
      <c r="BA95" s="70"/>
      <c r="BB95" s="70"/>
      <c r="BC95" s="70"/>
      <c r="BD95" s="70"/>
      <c r="BE95" s="70"/>
      <c r="BF95" s="70"/>
      <c r="BG95" s="70"/>
      <c r="BH95" s="70"/>
      <c r="BI95" s="70"/>
      <c r="BJ95" s="70"/>
      <c r="BK95" s="70"/>
      <c r="BL95" s="70"/>
      <c r="BM95" s="70"/>
      <c r="BN95" s="70"/>
    </row>
    <row r="96" spans="53:66" s="69" customFormat="1" ht="13.5" customHeight="1">
      <c r="BA96" s="70"/>
      <c r="BB96" s="70"/>
      <c r="BC96" s="70"/>
      <c r="BD96" s="70"/>
      <c r="BE96" s="70"/>
      <c r="BF96" s="70"/>
      <c r="BG96" s="70"/>
      <c r="BH96" s="70"/>
      <c r="BI96" s="70"/>
      <c r="BJ96" s="70"/>
      <c r="BK96" s="70"/>
      <c r="BL96" s="70"/>
      <c r="BM96" s="70"/>
      <c r="BN96" s="70"/>
    </row>
    <row r="97" spans="53:66" s="69" customFormat="1" ht="13.5" customHeight="1">
      <c r="BA97" s="70"/>
      <c r="BB97" s="70"/>
      <c r="BC97" s="70"/>
      <c r="BD97" s="70"/>
      <c r="BE97" s="70"/>
      <c r="BF97" s="70"/>
      <c r="BG97" s="70"/>
      <c r="BH97" s="70"/>
      <c r="BI97" s="70"/>
      <c r="BJ97" s="70"/>
      <c r="BK97" s="70"/>
      <c r="BL97" s="70"/>
      <c r="BM97" s="70"/>
      <c r="BN97" s="70"/>
    </row>
    <row r="98" spans="53:66" s="69" customFormat="1" ht="13.5" customHeight="1">
      <c r="BA98" s="70"/>
      <c r="BB98" s="70"/>
      <c r="BC98" s="70"/>
      <c r="BD98" s="70"/>
      <c r="BE98" s="70"/>
      <c r="BF98" s="70"/>
      <c r="BG98" s="70"/>
      <c r="BH98" s="70"/>
      <c r="BI98" s="70"/>
      <c r="BJ98" s="70"/>
      <c r="BK98" s="70"/>
      <c r="BL98" s="70"/>
      <c r="BM98" s="70"/>
      <c r="BN98" s="70"/>
    </row>
    <row r="99" spans="53:66" s="69" customFormat="1" ht="13.5" customHeight="1">
      <c r="BA99" s="70"/>
      <c r="BB99" s="70"/>
      <c r="BC99" s="70"/>
      <c r="BD99" s="70"/>
      <c r="BE99" s="70"/>
      <c r="BF99" s="70"/>
      <c r="BG99" s="70"/>
      <c r="BH99" s="70"/>
      <c r="BI99" s="70"/>
      <c r="BJ99" s="70"/>
      <c r="BK99" s="70"/>
      <c r="BL99" s="70"/>
      <c r="BM99" s="70"/>
      <c r="BN99" s="70"/>
    </row>
    <row r="100" spans="53:66" s="69" customFormat="1" ht="13.5" customHeight="1">
      <c r="BA100" s="70"/>
      <c r="BB100" s="70"/>
      <c r="BC100" s="70"/>
      <c r="BD100" s="70"/>
      <c r="BE100" s="70"/>
      <c r="BF100" s="70"/>
      <c r="BG100" s="70"/>
      <c r="BH100" s="70"/>
      <c r="BI100" s="70"/>
      <c r="BJ100" s="70"/>
      <c r="BK100" s="70"/>
      <c r="BL100" s="70"/>
      <c r="BM100" s="70"/>
      <c r="BN100" s="70"/>
    </row>
    <row r="101" spans="53:66" s="69" customFormat="1" ht="13.5" customHeight="1">
      <c r="BA101" s="70"/>
      <c r="BB101" s="70"/>
      <c r="BC101" s="70"/>
      <c r="BD101" s="70"/>
      <c r="BE101" s="70"/>
      <c r="BF101" s="70"/>
      <c r="BG101" s="70"/>
      <c r="BH101" s="70"/>
      <c r="BI101" s="70"/>
      <c r="BJ101" s="70"/>
      <c r="BK101" s="70"/>
      <c r="BL101" s="70"/>
      <c r="BM101" s="70"/>
      <c r="BN101" s="70"/>
    </row>
    <row r="102" spans="53:66" s="69" customFormat="1" ht="13.5" customHeight="1">
      <c r="BA102" s="70"/>
      <c r="BB102" s="70"/>
      <c r="BC102" s="70"/>
      <c r="BD102" s="70"/>
      <c r="BE102" s="70"/>
      <c r="BF102" s="70"/>
      <c r="BG102" s="70"/>
      <c r="BH102" s="70"/>
      <c r="BI102" s="70"/>
      <c r="BJ102" s="70"/>
      <c r="BK102" s="70"/>
      <c r="BL102" s="70"/>
      <c r="BM102" s="70"/>
      <c r="BN102" s="70"/>
    </row>
    <row r="103" spans="53:66" s="69" customFormat="1" ht="13.5" customHeight="1">
      <c r="BA103" s="70"/>
      <c r="BB103" s="70"/>
      <c r="BC103" s="70"/>
      <c r="BD103" s="70"/>
      <c r="BE103" s="70"/>
      <c r="BF103" s="70"/>
      <c r="BG103" s="70"/>
      <c r="BH103" s="70"/>
      <c r="BI103" s="70"/>
      <c r="BJ103" s="70"/>
      <c r="BK103" s="70"/>
      <c r="BL103" s="70"/>
      <c r="BM103" s="70"/>
      <c r="BN103" s="70"/>
    </row>
    <row r="104" spans="53:66" s="69" customFormat="1" ht="13.5" customHeight="1">
      <c r="BA104" s="70"/>
      <c r="BB104" s="70"/>
      <c r="BC104" s="70"/>
      <c r="BD104" s="70"/>
      <c r="BE104" s="70"/>
      <c r="BF104" s="70"/>
      <c r="BG104" s="70"/>
      <c r="BH104" s="70"/>
      <c r="BI104" s="70"/>
      <c r="BJ104" s="70"/>
      <c r="BK104" s="70"/>
      <c r="BL104" s="70"/>
      <c r="BM104" s="70"/>
      <c r="BN104" s="70"/>
    </row>
    <row r="105" spans="53:66" s="69" customFormat="1" ht="13.5" customHeight="1">
      <c r="BA105" s="70"/>
      <c r="BB105" s="70"/>
      <c r="BC105" s="70"/>
      <c r="BD105" s="70"/>
      <c r="BE105" s="70"/>
      <c r="BF105" s="70"/>
      <c r="BG105" s="70"/>
      <c r="BH105" s="70"/>
      <c r="BI105" s="70"/>
      <c r="BJ105" s="70"/>
      <c r="BK105" s="70"/>
      <c r="BL105" s="70"/>
      <c r="BM105" s="70"/>
      <c r="BN105" s="70"/>
    </row>
    <row r="106" spans="53:66" s="69" customFormat="1" ht="13.5" customHeight="1">
      <c r="BA106" s="70"/>
      <c r="BB106" s="70"/>
      <c r="BC106" s="70"/>
      <c r="BD106" s="70"/>
      <c r="BE106" s="70"/>
      <c r="BF106" s="70"/>
      <c r="BG106" s="70"/>
      <c r="BH106" s="70"/>
      <c r="BI106" s="70"/>
      <c r="BJ106" s="70"/>
      <c r="BK106" s="70"/>
      <c r="BL106" s="70"/>
      <c r="BM106" s="70"/>
      <c r="BN106" s="70"/>
    </row>
    <row r="107" spans="53:66" s="69" customFormat="1" ht="13.5" customHeight="1">
      <c r="BA107" s="70"/>
      <c r="BB107" s="70"/>
      <c r="BC107" s="70"/>
      <c r="BD107" s="70"/>
      <c r="BE107" s="70"/>
      <c r="BF107" s="70"/>
      <c r="BG107" s="70"/>
      <c r="BH107" s="70"/>
      <c r="BI107" s="70"/>
      <c r="BJ107" s="70"/>
      <c r="BK107" s="70"/>
      <c r="BL107" s="70"/>
      <c r="BM107" s="70"/>
      <c r="BN107" s="70"/>
    </row>
    <row r="108" spans="53:66" s="69" customFormat="1" ht="13.5" customHeight="1">
      <c r="BA108" s="70"/>
      <c r="BB108" s="70"/>
      <c r="BC108" s="70"/>
      <c r="BD108" s="70"/>
      <c r="BE108" s="70"/>
      <c r="BF108" s="70"/>
      <c r="BG108" s="70"/>
      <c r="BH108" s="70"/>
      <c r="BI108" s="70"/>
      <c r="BJ108" s="70"/>
      <c r="BK108" s="70"/>
      <c r="BL108" s="70"/>
      <c r="BM108" s="70"/>
      <c r="BN108" s="70"/>
    </row>
    <row r="109" spans="53:66" s="69" customFormat="1" ht="13.5" customHeight="1">
      <c r="BA109" s="70"/>
      <c r="BB109" s="70"/>
      <c r="BC109" s="70"/>
      <c r="BD109" s="70"/>
      <c r="BE109" s="70"/>
      <c r="BF109" s="70"/>
      <c r="BG109" s="70"/>
      <c r="BH109" s="70"/>
      <c r="BI109" s="70"/>
      <c r="BJ109" s="70"/>
      <c r="BK109" s="70"/>
      <c r="BL109" s="70"/>
      <c r="BM109" s="70"/>
      <c r="BN109" s="70"/>
    </row>
    <row r="110" spans="53:66" s="69" customFormat="1" ht="13.5" customHeight="1">
      <c r="BA110" s="70"/>
      <c r="BB110" s="70"/>
      <c r="BC110" s="70"/>
      <c r="BD110" s="70"/>
      <c r="BE110" s="70"/>
      <c r="BF110" s="70"/>
      <c r="BG110" s="70"/>
      <c r="BH110" s="70"/>
      <c r="BI110" s="70"/>
      <c r="BJ110" s="70"/>
      <c r="BK110" s="70"/>
      <c r="BL110" s="70"/>
      <c r="BM110" s="70"/>
      <c r="BN110" s="70"/>
    </row>
    <row r="111" spans="53:66" s="69" customFormat="1" ht="13.5" customHeight="1">
      <c r="BA111" s="70"/>
      <c r="BB111" s="70"/>
      <c r="BC111" s="70"/>
      <c r="BD111" s="70"/>
      <c r="BE111" s="70"/>
      <c r="BF111" s="70"/>
      <c r="BG111" s="70"/>
      <c r="BH111" s="70"/>
      <c r="BI111" s="70"/>
      <c r="BJ111" s="70"/>
      <c r="BK111" s="70"/>
      <c r="BL111" s="70"/>
      <c r="BM111" s="70"/>
      <c r="BN111" s="70"/>
    </row>
    <row r="112" spans="53:66" s="69" customFormat="1" ht="13.5" customHeight="1">
      <c r="BA112" s="70"/>
      <c r="BB112" s="70"/>
      <c r="BC112" s="70"/>
      <c r="BD112" s="70"/>
      <c r="BE112" s="70"/>
      <c r="BF112" s="70"/>
      <c r="BG112" s="70"/>
      <c r="BH112" s="70"/>
      <c r="BI112" s="70"/>
      <c r="BJ112" s="70"/>
      <c r="BK112" s="70"/>
      <c r="BL112" s="70"/>
      <c r="BM112" s="70"/>
      <c r="BN112" s="70"/>
    </row>
    <row r="113" spans="53:66" s="69" customFormat="1" ht="13.5" customHeight="1">
      <c r="BA113" s="70"/>
      <c r="BB113" s="70"/>
      <c r="BC113" s="70"/>
      <c r="BD113" s="70"/>
      <c r="BE113" s="70"/>
      <c r="BF113" s="70"/>
      <c r="BG113" s="70"/>
      <c r="BH113" s="70"/>
      <c r="BI113" s="70"/>
      <c r="BJ113" s="70"/>
      <c r="BK113" s="70"/>
      <c r="BL113" s="70"/>
      <c r="BM113" s="70"/>
      <c r="BN113" s="70"/>
    </row>
    <row r="114" spans="53:66" s="69" customFormat="1" ht="13.5" customHeight="1">
      <c r="BA114" s="70"/>
      <c r="BB114" s="70"/>
      <c r="BC114" s="70"/>
      <c r="BD114" s="70"/>
      <c r="BE114" s="70"/>
      <c r="BF114" s="70"/>
      <c r="BG114" s="70"/>
      <c r="BH114" s="70"/>
      <c r="BI114" s="70"/>
      <c r="BJ114" s="70"/>
      <c r="BK114" s="70"/>
      <c r="BL114" s="70"/>
      <c r="BM114" s="70"/>
      <c r="BN114" s="70"/>
    </row>
    <row r="115" spans="53:66" s="69" customFormat="1" ht="13.5" customHeight="1">
      <c r="BA115" s="70"/>
      <c r="BB115" s="70"/>
      <c r="BC115" s="70"/>
      <c r="BD115" s="70"/>
      <c r="BE115" s="70"/>
      <c r="BF115" s="70"/>
      <c r="BG115" s="70"/>
      <c r="BH115" s="70"/>
      <c r="BI115" s="70"/>
      <c r="BJ115" s="70"/>
      <c r="BK115" s="70"/>
      <c r="BL115" s="70"/>
      <c r="BM115" s="70"/>
      <c r="BN115" s="70"/>
    </row>
    <row r="116" spans="53:66" s="69" customFormat="1" ht="13.5" customHeight="1">
      <c r="BA116" s="70"/>
      <c r="BB116" s="70"/>
      <c r="BC116" s="70"/>
      <c r="BD116" s="70"/>
      <c r="BE116" s="70"/>
      <c r="BF116" s="70"/>
      <c r="BG116" s="70"/>
      <c r="BH116" s="70"/>
      <c r="BI116" s="70"/>
      <c r="BJ116" s="70"/>
      <c r="BK116" s="70"/>
      <c r="BL116" s="70"/>
      <c r="BM116" s="70"/>
      <c r="BN116" s="70"/>
    </row>
    <row r="117" spans="53:66" s="69" customFormat="1" ht="13.5" customHeight="1">
      <c r="BA117" s="70"/>
      <c r="BB117" s="70"/>
      <c r="BC117" s="70"/>
      <c r="BD117" s="70"/>
      <c r="BE117" s="70"/>
      <c r="BF117" s="70"/>
      <c r="BG117" s="70"/>
      <c r="BH117" s="70"/>
      <c r="BI117" s="70"/>
      <c r="BJ117" s="70"/>
      <c r="BK117" s="70"/>
      <c r="BL117" s="70"/>
      <c r="BM117" s="70"/>
      <c r="BN117" s="70"/>
    </row>
    <row r="118" spans="53:66" s="69" customFormat="1" ht="13.5" customHeight="1">
      <c r="BA118" s="70"/>
      <c r="BB118" s="70"/>
      <c r="BC118" s="70"/>
      <c r="BD118" s="70"/>
      <c r="BE118" s="70"/>
      <c r="BF118" s="70"/>
      <c r="BG118" s="70"/>
      <c r="BH118" s="70"/>
      <c r="BI118" s="70"/>
      <c r="BJ118" s="70"/>
      <c r="BK118" s="70"/>
      <c r="BL118" s="70"/>
      <c r="BM118" s="70"/>
      <c r="BN118" s="70"/>
    </row>
    <row r="119" spans="53:66" s="69" customFormat="1" ht="13.5" customHeight="1">
      <c r="BA119" s="70"/>
      <c r="BB119" s="70"/>
      <c r="BC119" s="70"/>
      <c r="BD119" s="70"/>
      <c r="BE119" s="70"/>
      <c r="BF119" s="70"/>
      <c r="BG119" s="70"/>
      <c r="BH119" s="70"/>
      <c r="BI119" s="70"/>
      <c r="BJ119" s="70"/>
      <c r="BK119" s="70"/>
      <c r="BL119" s="70"/>
      <c r="BM119" s="70"/>
      <c r="BN119" s="70"/>
    </row>
    <row r="120" spans="53:66" s="69" customFormat="1" ht="13.5" customHeight="1">
      <c r="BA120" s="70"/>
      <c r="BB120" s="70"/>
      <c r="BC120" s="70"/>
      <c r="BD120" s="70"/>
      <c r="BE120" s="70"/>
      <c r="BF120" s="70"/>
      <c r="BG120" s="70"/>
      <c r="BH120" s="70"/>
      <c r="BI120" s="70"/>
      <c r="BJ120" s="70"/>
      <c r="BK120" s="70"/>
      <c r="BL120" s="70"/>
      <c r="BM120" s="70"/>
      <c r="BN120" s="70"/>
    </row>
    <row r="121" spans="53:66" s="69" customFormat="1" ht="13.5" customHeight="1">
      <c r="BA121" s="70"/>
      <c r="BB121" s="70"/>
      <c r="BC121" s="70"/>
      <c r="BD121" s="70"/>
      <c r="BE121" s="70"/>
      <c r="BF121" s="70"/>
      <c r="BG121" s="70"/>
      <c r="BH121" s="70"/>
      <c r="BI121" s="70"/>
      <c r="BJ121" s="70"/>
      <c r="BK121" s="70"/>
      <c r="BL121" s="70"/>
      <c r="BM121" s="70"/>
      <c r="BN121" s="70"/>
    </row>
    <row r="122" spans="53:66" s="69" customFormat="1" ht="13.5" customHeight="1">
      <c r="BA122" s="70"/>
      <c r="BB122" s="70"/>
      <c r="BC122" s="70"/>
      <c r="BD122" s="70"/>
      <c r="BE122" s="70"/>
      <c r="BF122" s="70"/>
      <c r="BG122" s="70"/>
      <c r="BH122" s="70"/>
      <c r="BI122" s="70"/>
      <c r="BJ122" s="70"/>
      <c r="BK122" s="70"/>
      <c r="BL122" s="70"/>
      <c r="BM122" s="70"/>
      <c r="BN122" s="70"/>
    </row>
    <row r="123" spans="53:66" s="69" customFormat="1" ht="13.5" customHeight="1">
      <c r="BA123" s="70"/>
      <c r="BB123" s="70"/>
      <c r="BC123" s="70"/>
      <c r="BD123" s="70"/>
      <c r="BE123" s="70"/>
      <c r="BF123" s="70"/>
      <c r="BG123" s="70"/>
      <c r="BH123" s="70"/>
      <c r="BI123" s="70"/>
      <c r="BJ123" s="70"/>
      <c r="BK123" s="70"/>
      <c r="BL123" s="70"/>
      <c r="BM123" s="70"/>
      <c r="BN123" s="70"/>
    </row>
    <row r="124" spans="53:66" s="69" customFormat="1" ht="13.5" customHeight="1">
      <c r="BA124" s="70"/>
      <c r="BB124" s="70"/>
      <c r="BC124" s="70"/>
      <c r="BD124" s="70"/>
      <c r="BE124" s="70"/>
      <c r="BF124" s="70"/>
      <c r="BG124" s="70"/>
      <c r="BH124" s="70"/>
      <c r="BI124" s="70"/>
      <c r="BJ124" s="70"/>
      <c r="BK124" s="70"/>
      <c r="BL124" s="70"/>
      <c r="BM124" s="70"/>
      <c r="BN124" s="70"/>
    </row>
    <row r="125" spans="53:66" s="69" customFormat="1" ht="13.5" customHeight="1">
      <c r="BA125" s="70"/>
      <c r="BB125" s="70"/>
      <c r="BC125" s="70"/>
      <c r="BD125" s="70"/>
      <c r="BE125" s="70"/>
      <c r="BF125" s="70"/>
      <c r="BG125" s="70"/>
      <c r="BH125" s="70"/>
      <c r="BI125" s="70"/>
      <c r="BJ125" s="70"/>
      <c r="BK125" s="70"/>
      <c r="BL125" s="70"/>
      <c r="BM125" s="70"/>
      <c r="BN125" s="70"/>
    </row>
    <row r="126" spans="53:66" s="69" customFormat="1" ht="13.5" customHeight="1">
      <c r="BA126" s="70"/>
      <c r="BB126" s="70"/>
      <c r="BC126" s="70"/>
      <c r="BD126" s="70"/>
      <c r="BE126" s="70"/>
      <c r="BF126" s="70"/>
      <c r="BG126" s="70"/>
      <c r="BH126" s="70"/>
      <c r="BI126" s="70"/>
      <c r="BJ126" s="70"/>
      <c r="BK126" s="70"/>
      <c r="BL126" s="70"/>
      <c r="BM126" s="70"/>
      <c r="BN126" s="70"/>
    </row>
  </sheetData>
  <sheetProtection selectLockedCells="1"/>
  <mergeCells count="181">
    <mergeCell ref="B38:AC39"/>
    <mergeCell ref="N37:O37"/>
    <mergeCell ref="P37:Q37"/>
    <mergeCell ref="R37:S37"/>
    <mergeCell ref="W37:Y37"/>
    <mergeCell ref="Z37:AA37"/>
    <mergeCell ref="AB37:AC37"/>
    <mergeCell ref="N36:O36"/>
    <mergeCell ref="P36:Q36"/>
    <mergeCell ref="R36:S36"/>
    <mergeCell ref="W36:Y36"/>
    <mergeCell ref="Z36:AA36"/>
    <mergeCell ref="AB36:AC36"/>
    <mergeCell ref="Z33:AA33"/>
    <mergeCell ref="AB33:AC33"/>
    <mergeCell ref="N35:O35"/>
    <mergeCell ref="P35:Q35"/>
    <mergeCell ref="R35:S35"/>
    <mergeCell ref="W35:Y35"/>
    <mergeCell ref="Z35:AA35"/>
    <mergeCell ref="AB35:AC35"/>
    <mergeCell ref="N34:O34"/>
    <mergeCell ref="P34:Q34"/>
    <mergeCell ref="R34:S34"/>
    <mergeCell ref="W34:Y34"/>
    <mergeCell ref="Z34:AA34"/>
    <mergeCell ref="AB34:AC34"/>
    <mergeCell ref="N30:O30"/>
    <mergeCell ref="P30:Q30"/>
    <mergeCell ref="R30:S30"/>
    <mergeCell ref="T30:V30"/>
    <mergeCell ref="W30:Y30"/>
    <mergeCell ref="Z30:AA30"/>
    <mergeCell ref="AB30:AC30"/>
    <mergeCell ref="N31:O31"/>
    <mergeCell ref="P31:Q31"/>
    <mergeCell ref="R31:S31"/>
    <mergeCell ref="T31:V37"/>
    <mergeCell ref="W31:Y31"/>
    <mergeCell ref="Z31:AA31"/>
    <mergeCell ref="AB31:AC31"/>
    <mergeCell ref="N32:O32"/>
    <mergeCell ref="P32:Q32"/>
    <mergeCell ref="R32:S32"/>
    <mergeCell ref="W32:Y32"/>
    <mergeCell ref="Z32:AA32"/>
    <mergeCell ref="AB32:AC32"/>
    <mergeCell ref="N33:O33"/>
    <mergeCell ref="P33:Q33"/>
    <mergeCell ref="R33:S33"/>
    <mergeCell ref="W33:Y33"/>
    <mergeCell ref="B27:B29"/>
    <mergeCell ref="AB27:AC27"/>
    <mergeCell ref="N28:S28"/>
    <mergeCell ref="T28:V28"/>
    <mergeCell ref="W28:Y28"/>
    <mergeCell ref="Z28:AA28"/>
    <mergeCell ref="AB28:AC28"/>
    <mergeCell ref="N29:O29"/>
    <mergeCell ref="P29:Q29"/>
    <mergeCell ref="R29:S29"/>
    <mergeCell ref="T29:V29"/>
    <mergeCell ref="W29:Y29"/>
    <mergeCell ref="Z29:AA29"/>
    <mergeCell ref="AB29:AC29"/>
    <mergeCell ref="V24:X24"/>
    <mergeCell ref="Y23:AA23"/>
    <mergeCell ref="AJ23:AK23"/>
    <mergeCell ref="AL23:AN23"/>
    <mergeCell ref="AR24:AT24"/>
    <mergeCell ref="AU24:AW24"/>
    <mergeCell ref="I25:L25"/>
    <mergeCell ref="S25:U25"/>
    <mergeCell ref="V25:X25"/>
    <mergeCell ref="Y25:AA25"/>
    <mergeCell ref="AF25:AI25"/>
    <mergeCell ref="AO25:AQ25"/>
    <mergeCell ref="AR25:AT25"/>
    <mergeCell ref="AU25:AW25"/>
    <mergeCell ref="Y24:AA24"/>
    <mergeCell ref="AC24:AE25"/>
    <mergeCell ref="AF24:AI24"/>
    <mergeCell ref="AJ24:AK25"/>
    <mergeCell ref="AL24:AN25"/>
    <mergeCell ref="AO24:AQ24"/>
    <mergeCell ref="AO23:AQ23"/>
    <mergeCell ref="AR23:AT23"/>
    <mergeCell ref="AU23:AW23"/>
    <mergeCell ref="G23:H23"/>
    <mergeCell ref="J23:L23"/>
    <mergeCell ref="N23:O23"/>
    <mergeCell ref="P23:R23"/>
    <mergeCell ref="S23:U23"/>
    <mergeCell ref="V23:X23"/>
    <mergeCell ref="AL21:AN21"/>
    <mergeCell ref="AO21:AQ21"/>
    <mergeCell ref="AR21:AT21"/>
    <mergeCell ref="AU21:AW21"/>
    <mergeCell ref="D22:H22"/>
    <mergeCell ref="D20:H20"/>
    <mergeCell ref="AZ20:BT21"/>
    <mergeCell ref="D21:E21"/>
    <mergeCell ref="G21:H21"/>
    <mergeCell ref="J21:L21"/>
    <mergeCell ref="N21:O21"/>
    <mergeCell ref="P21:R21"/>
    <mergeCell ref="S21:U21"/>
    <mergeCell ref="V21:X21"/>
    <mergeCell ref="Y21:AA21"/>
    <mergeCell ref="AL19:AN19"/>
    <mergeCell ref="AO19:AQ19"/>
    <mergeCell ref="AR19:AT19"/>
    <mergeCell ref="AU19:AW19"/>
    <mergeCell ref="G19:H19"/>
    <mergeCell ref="J19:L19"/>
    <mergeCell ref="N19:O19"/>
    <mergeCell ref="P19:R19"/>
    <mergeCell ref="S19:U19"/>
    <mergeCell ref="V19:X19"/>
    <mergeCell ref="AL17:AN17"/>
    <mergeCell ref="AO17:AQ17"/>
    <mergeCell ref="AR17:AT17"/>
    <mergeCell ref="AU17:AW17"/>
    <mergeCell ref="AZ17:BT18"/>
    <mergeCell ref="N18:O18"/>
    <mergeCell ref="AJ18:AK18"/>
    <mergeCell ref="AL16:AN16"/>
    <mergeCell ref="AO16:AW16"/>
    <mergeCell ref="AZ14:BT15"/>
    <mergeCell ref="D15:M15"/>
    <mergeCell ref="P15:R15"/>
    <mergeCell ref="AJ15:AK15"/>
    <mergeCell ref="AL15:AN15"/>
    <mergeCell ref="G16:H16"/>
    <mergeCell ref="I16:M16"/>
    <mergeCell ref="N16:O16"/>
    <mergeCell ref="P16:R16"/>
    <mergeCell ref="S16:AA16"/>
    <mergeCell ref="B14:C24"/>
    <mergeCell ref="D14:G14"/>
    <mergeCell ref="N14:O14"/>
    <mergeCell ref="P14:R14"/>
    <mergeCell ref="S14:T14"/>
    <mergeCell ref="AJ16:AK16"/>
    <mergeCell ref="AJ17:AK17"/>
    <mergeCell ref="D19:E19"/>
    <mergeCell ref="D17:E17"/>
    <mergeCell ref="G17:H17"/>
    <mergeCell ref="J17:L17"/>
    <mergeCell ref="N17:O17"/>
    <mergeCell ref="P17:R17"/>
    <mergeCell ref="S17:U17"/>
    <mergeCell ref="V17:X17"/>
    <mergeCell ref="Y17:AA17"/>
    <mergeCell ref="Y19:AA19"/>
    <mergeCell ref="AJ19:AK19"/>
    <mergeCell ref="AJ21:AK21"/>
    <mergeCell ref="D24:H25"/>
    <mergeCell ref="I24:L24"/>
    <mergeCell ref="M24:O25"/>
    <mergeCell ref="P24:R25"/>
    <mergeCell ref="S24:U24"/>
    <mergeCell ref="AF2:AJ3"/>
    <mergeCell ref="AK2:AW3"/>
    <mergeCell ref="Z4:AA5"/>
    <mergeCell ref="AB4:AE5"/>
    <mergeCell ref="AJ4:AO4"/>
    <mergeCell ref="AT4:AW4"/>
    <mergeCell ref="AZ4:BT7"/>
    <mergeCell ref="B5:E5"/>
    <mergeCell ref="F5:M5"/>
    <mergeCell ref="O5:P5"/>
    <mergeCell ref="Q5:Y5"/>
    <mergeCell ref="AJ5:AO5"/>
    <mergeCell ref="AT5:AW5"/>
    <mergeCell ref="V7:AW10"/>
    <mergeCell ref="C8:H9"/>
    <mergeCell ref="AZ9:BT12"/>
    <mergeCell ref="AC12:AD12"/>
    <mergeCell ref="AI12:AJ12"/>
    <mergeCell ref="B2:Y4"/>
  </mergeCells>
  <conditionalFormatting sqref="AB31:AB32">
    <cfRule type="cellIs" dxfId="82" priority="25" operator="lessThanOrEqual">
      <formula>0</formula>
    </cfRule>
  </conditionalFormatting>
  <conditionalFormatting sqref="F5:M5 Q5:Y5 AJ4:AO5">
    <cfRule type="cellIs" dxfId="81" priority="24" operator="equal">
      <formula>0</formula>
    </cfRule>
  </conditionalFormatting>
  <conditionalFormatting sqref="D20:R20 D21 F21:R21">
    <cfRule type="expression" dxfId="80" priority="23">
      <formula>$P$21=0</formula>
    </cfRule>
  </conditionalFormatting>
  <conditionalFormatting sqref="D22:R23">
    <cfRule type="expression" dxfId="79" priority="22">
      <formula>$P$23=0</formula>
    </cfRule>
  </conditionalFormatting>
  <conditionalFormatting sqref="S20:U21">
    <cfRule type="expression" dxfId="78" priority="21">
      <formula>$P$21=0</formula>
    </cfRule>
  </conditionalFormatting>
  <conditionalFormatting sqref="S22:U23">
    <cfRule type="expression" dxfId="77" priority="20">
      <formula>$P$23=0</formula>
    </cfRule>
  </conditionalFormatting>
  <conditionalFormatting sqref="V20:X21">
    <cfRule type="expression" dxfId="76" priority="19">
      <formula>$P$21=0</formula>
    </cfRule>
  </conditionalFormatting>
  <conditionalFormatting sqref="V22:X23">
    <cfRule type="expression" dxfId="75" priority="18">
      <formula>$P$23=0</formula>
    </cfRule>
  </conditionalFormatting>
  <conditionalFormatting sqref="Y20:AA21">
    <cfRule type="expression" dxfId="74" priority="17">
      <formula>$P$21=0</formula>
    </cfRule>
  </conditionalFormatting>
  <conditionalFormatting sqref="Y22:AA23">
    <cfRule type="expression" dxfId="73" priority="16">
      <formula>$P$23=0</formula>
    </cfRule>
  </conditionalFormatting>
  <conditionalFormatting sqref="AB33:AB37">
    <cfRule type="cellIs" dxfId="72" priority="15" operator="lessThanOrEqual">
      <formula>0</formula>
    </cfRule>
  </conditionalFormatting>
  <conditionalFormatting sqref="AB28">
    <cfRule type="cellIs" dxfId="71" priority="14" operator="lessThanOrEqual">
      <formula>0</formula>
    </cfRule>
  </conditionalFormatting>
  <conditionalFormatting sqref="AJ20:AK21">
    <cfRule type="expression" dxfId="70" priority="13">
      <formula>$P$21=0</formula>
    </cfRule>
  </conditionalFormatting>
  <conditionalFormatting sqref="AJ22:AK23">
    <cfRule type="expression" dxfId="69" priority="12">
      <formula>$P$23=0</formula>
    </cfRule>
  </conditionalFormatting>
  <conditionalFormatting sqref="AL20:AN21">
    <cfRule type="expression" dxfId="68" priority="11">
      <formula>$P$21=0</formula>
    </cfRule>
  </conditionalFormatting>
  <conditionalFormatting sqref="AL22:AN23">
    <cfRule type="expression" dxfId="67" priority="10">
      <formula>$P$23=0</formula>
    </cfRule>
  </conditionalFormatting>
  <conditionalFormatting sqref="AO20:AQ21">
    <cfRule type="expression" dxfId="66" priority="9">
      <formula>$P$21=0</formula>
    </cfRule>
  </conditionalFormatting>
  <conditionalFormatting sqref="AO22:AQ23">
    <cfRule type="expression" dxfId="65" priority="8">
      <formula>$P$23=0</formula>
    </cfRule>
  </conditionalFormatting>
  <conditionalFormatting sqref="AR20:AT21">
    <cfRule type="expression" dxfId="64" priority="7">
      <formula>$P$21=0</formula>
    </cfRule>
  </conditionalFormatting>
  <conditionalFormatting sqref="AR22:AT23">
    <cfRule type="expression" dxfId="63" priority="6">
      <formula>$P$23=0</formula>
    </cfRule>
  </conditionalFormatting>
  <conditionalFormatting sqref="AU20:AW21">
    <cfRule type="expression" dxfId="62" priority="5">
      <formula>$P$21=0</formula>
    </cfRule>
  </conditionalFormatting>
  <conditionalFormatting sqref="AU22:AW23">
    <cfRule type="expression" dxfId="61" priority="4">
      <formula>$P$23=0</formula>
    </cfRule>
  </conditionalFormatting>
  <conditionalFormatting sqref="AB30">
    <cfRule type="cellIs" dxfId="60" priority="3" operator="lessThanOrEqual">
      <formula>0</formula>
    </cfRule>
  </conditionalFormatting>
  <conditionalFormatting sqref="T31:V37">
    <cfRule type="cellIs" dxfId="59" priority="26" operator="notBetween">
      <formula>$AC$12</formula>
      <formula>$AI$12</formula>
    </cfRule>
  </conditionalFormatting>
  <conditionalFormatting sqref="AF25:AI25">
    <cfRule type="cellIs" dxfId="58" priority="2" operator="equal">
      <formula>0</formula>
    </cfRule>
  </conditionalFormatting>
  <conditionalFormatting sqref="I25:L25">
    <cfRule type="cellIs" dxfId="57" priority="1" operator="equal">
      <formula>0</formula>
    </cfRule>
  </conditionalFormatting>
  <printOptions horizontalCentered="1" verticalCentered="1"/>
  <pageMargins left="0.59055118110236227" right="0.59055118110236227" top="0.78740157480314965" bottom="0.39370078740157483" header="0.31496062992125984" footer="0.31496062992125984"/>
  <pageSetup paperSize="9" orientation="landscape" r:id="rId1"/>
  <ignoredErrors>
    <ignoredError sqref="W30:AC30"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A126"/>
  <sheetViews>
    <sheetView showGridLines="0" zoomScale="120" zoomScaleNormal="120" zoomScaleSheetLayoutView="110" workbookViewId="0">
      <selection activeCell="B2" sqref="B2:Y4"/>
    </sheetView>
  </sheetViews>
  <sheetFormatPr baseColWidth="10" defaultColWidth="2.6640625" defaultRowHeight="13.5" customHeight="1"/>
  <cols>
    <col min="1" max="1" width="2.6640625" style="68"/>
    <col min="2" max="50" width="2.6640625" style="68" customWidth="1"/>
    <col min="51" max="52" width="2.6640625" style="68"/>
    <col min="53" max="53" width="2.6640625" style="71"/>
    <col min="54" max="57" width="2.6640625" style="70"/>
    <col min="58" max="58" width="3" style="70" bestFit="1" customWidth="1"/>
    <col min="59" max="59" width="2.6640625" style="70"/>
    <col min="60" max="60" width="3" style="70" bestFit="1" customWidth="1"/>
    <col min="61" max="61" width="2.6640625" style="70"/>
    <col min="62" max="62" width="5.109375" style="70" bestFit="1" customWidth="1"/>
    <col min="63" max="66" width="2.6640625" style="70"/>
    <col min="67" max="90" width="2.6640625" style="69"/>
    <col min="91" max="16384" width="2.6640625" style="68"/>
  </cols>
  <sheetData>
    <row r="1" spans="2:131" ht="13.5" customHeight="1">
      <c r="AY1" s="73"/>
      <c r="AZ1" s="69"/>
      <c r="BA1" s="70"/>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row>
    <row r="2" spans="2:131" ht="13.5" customHeight="1">
      <c r="B2" s="682" t="s">
        <v>259</v>
      </c>
      <c r="C2" s="1249"/>
      <c r="D2" s="1249"/>
      <c r="E2" s="1249"/>
      <c r="F2" s="1249"/>
      <c r="G2" s="1249"/>
      <c r="H2" s="1249"/>
      <c r="I2" s="1249"/>
      <c r="J2" s="1249"/>
      <c r="K2" s="1249"/>
      <c r="L2" s="1249"/>
      <c r="M2" s="1249"/>
      <c r="N2" s="1249"/>
      <c r="O2" s="1249"/>
      <c r="P2" s="1249"/>
      <c r="Q2" s="1249"/>
      <c r="R2" s="1249"/>
      <c r="S2" s="1249"/>
      <c r="T2" s="1249"/>
      <c r="U2" s="1249"/>
      <c r="V2" s="1249"/>
      <c r="W2" s="1249"/>
      <c r="X2" s="1249"/>
      <c r="Y2" s="1250"/>
      <c r="Z2" s="1"/>
      <c r="AA2" s="2"/>
      <c r="AB2" s="2"/>
      <c r="AC2" s="3"/>
      <c r="AD2" s="3"/>
      <c r="AE2" s="4"/>
      <c r="AF2" s="1453" t="s">
        <v>217</v>
      </c>
      <c r="AG2" s="1454"/>
      <c r="AH2" s="1454"/>
      <c r="AI2" s="1454"/>
      <c r="AJ2" s="1455"/>
      <c r="AK2" s="1213" t="s">
        <v>89</v>
      </c>
      <c r="AL2" s="1213"/>
      <c r="AM2" s="1213"/>
      <c r="AN2" s="1213"/>
      <c r="AO2" s="1213"/>
      <c r="AP2" s="1213"/>
      <c r="AQ2" s="1213"/>
      <c r="AR2" s="1213"/>
      <c r="AS2" s="1213"/>
      <c r="AT2" s="1213"/>
      <c r="AU2" s="1213"/>
      <c r="AV2" s="1213"/>
      <c r="AW2" s="1214"/>
      <c r="AY2" s="69"/>
      <c r="AZ2" s="422" t="s">
        <v>260</v>
      </c>
      <c r="BA2" s="670" t="s">
        <v>262</v>
      </c>
      <c r="BB2" s="665"/>
      <c r="BC2" s="423"/>
      <c r="BD2" s="423"/>
      <c r="BE2" s="423"/>
      <c r="BF2" s="423"/>
      <c r="BG2" s="423"/>
      <c r="BH2" s="423"/>
      <c r="BI2" s="423"/>
      <c r="BJ2" s="423"/>
      <c r="BK2" s="423"/>
      <c r="BL2" s="423"/>
      <c r="BM2" s="423"/>
      <c r="BN2" s="423"/>
      <c r="BO2" s="424"/>
      <c r="BP2" s="424"/>
      <c r="BQ2" s="424"/>
      <c r="BR2" s="424"/>
      <c r="BS2" s="424"/>
      <c r="BT2" s="425"/>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row>
    <row r="3" spans="2:131" ht="13.5" customHeight="1">
      <c r="B3" s="1251"/>
      <c r="C3" s="1252"/>
      <c r="D3" s="1252"/>
      <c r="E3" s="1252"/>
      <c r="F3" s="1252"/>
      <c r="G3" s="1252"/>
      <c r="H3" s="1252"/>
      <c r="I3" s="1252"/>
      <c r="J3" s="1252"/>
      <c r="K3" s="1252"/>
      <c r="L3" s="1252"/>
      <c r="M3" s="1252"/>
      <c r="N3" s="1252"/>
      <c r="O3" s="1252"/>
      <c r="P3" s="1252"/>
      <c r="Q3" s="1252"/>
      <c r="R3" s="1252"/>
      <c r="S3" s="1252"/>
      <c r="T3" s="1252"/>
      <c r="U3" s="1252"/>
      <c r="V3" s="1252"/>
      <c r="W3" s="1252"/>
      <c r="X3" s="1252"/>
      <c r="Y3" s="1253"/>
      <c r="Z3" s="5"/>
      <c r="AA3" s="6"/>
      <c r="AB3" s="118" t="s">
        <v>189</v>
      </c>
      <c r="AC3" s="7"/>
      <c r="AD3" s="7"/>
      <c r="AE3" s="8"/>
      <c r="AF3" s="1456"/>
      <c r="AG3" s="1457"/>
      <c r="AH3" s="1457"/>
      <c r="AI3" s="1457"/>
      <c r="AJ3" s="1458"/>
      <c r="AK3" s="1215"/>
      <c r="AL3" s="1215"/>
      <c r="AM3" s="1215"/>
      <c r="AN3" s="1215"/>
      <c r="AO3" s="1215"/>
      <c r="AP3" s="1215"/>
      <c r="AQ3" s="1215"/>
      <c r="AR3" s="1215"/>
      <c r="AS3" s="1215"/>
      <c r="AT3" s="1215"/>
      <c r="AU3" s="1215"/>
      <c r="AV3" s="1215"/>
      <c r="AW3" s="1216"/>
      <c r="AY3" s="69"/>
      <c r="AZ3" s="426"/>
      <c r="BA3" s="671" t="s">
        <v>261</v>
      </c>
      <c r="BB3" s="666"/>
      <c r="BC3" s="72"/>
      <c r="BD3" s="72"/>
      <c r="BE3" s="72"/>
      <c r="BF3" s="72"/>
      <c r="BG3" s="72"/>
      <c r="BH3" s="72"/>
      <c r="BI3" s="72"/>
      <c r="BJ3" s="72"/>
      <c r="BK3" s="72"/>
      <c r="BL3" s="72"/>
      <c r="BM3" s="72"/>
      <c r="BN3" s="72"/>
      <c r="BO3" s="73"/>
      <c r="BP3" s="73"/>
      <c r="BQ3" s="73"/>
      <c r="BR3" s="73"/>
      <c r="BS3" s="73"/>
      <c r="BT3" s="427"/>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row>
    <row r="4" spans="2:131" ht="13.5" customHeight="1">
      <c r="B4" s="1254"/>
      <c r="C4" s="1255"/>
      <c r="D4" s="1255"/>
      <c r="E4" s="1255"/>
      <c r="F4" s="1255"/>
      <c r="G4" s="1255"/>
      <c r="H4" s="1255"/>
      <c r="I4" s="1255"/>
      <c r="J4" s="1255"/>
      <c r="K4" s="1255"/>
      <c r="L4" s="1255"/>
      <c r="M4" s="1255"/>
      <c r="N4" s="1255"/>
      <c r="O4" s="1255"/>
      <c r="P4" s="1255"/>
      <c r="Q4" s="1255"/>
      <c r="R4" s="1255"/>
      <c r="S4" s="1255"/>
      <c r="T4" s="1255"/>
      <c r="U4" s="1255"/>
      <c r="V4" s="1255"/>
      <c r="W4" s="1255"/>
      <c r="X4" s="1255"/>
      <c r="Y4" s="1256"/>
      <c r="Z4" s="722"/>
      <c r="AA4" s="723"/>
      <c r="AB4" s="726"/>
      <c r="AC4" s="726"/>
      <c r="AD4" s="726"/>
      <c r="AE4" s="727"/>
      <c r="AF4" s="14"/>
      <c r="AG4" s="103"/>
      <c r="AH4" s="104"/>
      <c r="AI4" s="105" t="s">
        <v>52</v>
      </c>
      <c r="AJ4" s="1217">
        <f>'TWW-DIM'!AI3</f>
        <v>0</v>
      </c>
      <c r="AK4" s="1217"/>
      <c r="AL4" s="1217"/>
      <c r="AM4" s="1217"/>
      <c r="AN4" s="1217"/>
      <c r="AO4" s="1218"/>
      <c r="AP4" s="106"/>
      <c r="AQ4" s="106"/>
      <c r="AS4" s="107" t="s">
        <v>0</v>
      </c>
      <c r="AT4" s="1219">
        <f>'TWW-DIM'!AR3</f>
        <v>0</v>
      </c>
      <c r="AU4" s="1219"/>
      <c r="AV4" s="1219"/>
      <c r="AW4" s="1220"/>
      <c r="AY4" s="69"/>
      <c r="AZ4" s="1221" t="s">
        <v>60</v>
      </c>
      <c r="BA4" s="1222"/>
      <c r="BB4" s="1222"/>
      <c r="BC4" s="1222"/>
      <c r="BD4" s="1222"/>
      <c r="BE4" s="1222"/>
      <c r="BF4" s="1222"/>
      <c r="BG4" s="1222"/>
      <c r="BH4" s="1222"/>
      <c r="BI4" s="1222"/>
      <c r="BJ4" s="1222"/>
      <c r="BK4" s="1222"/>
      <c r="BL4" s="1222"/>
      <c r="BM4" s="1222"/>
      <c r="BN4" s="1222"/>
      <c r="BO4" s="1222"/>
      <c r="BP4" s="1222"/>
      <c r="BQ4" s="1222"/>
      <c r="BR4" s="1222"/>
      <c r="BS4" s="1222"/>
      <c r="BT4" s="1223"/>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row>
    <row r="5" spans="2:131" ht="13.5" customHeight="1" thickBot="1">
      <c r="B5" s="704" t="s">
        <v>88</v>
      </c>
      <c r="C5" s="705"/>
      <c r="D5" s="705"/>
      <c r="E5" s="705"/>
      <c r="F5" s="1224">
        <f>'TWW-DIM'!E4</f>
        <v>0</v>
      </c>
      <c r="G5" s="1224"/>
      <c r="H5" s="1224"/>
      <c r="I5" s="1224"/>
      <c r="J5" s="1224"/>
      <c r="K5" s="1224"/>
      <c r="L5" s="1224"/>
      <c r="M5" s="1224"/>
      <c r="N5" s="101"/>
      <c r="O5" s="1225" t="s">
        <v>87</v>
      </c>
      <c r="P5" s="1225"/>
      <c r="Q5" s="1224">
        <f>'TWW-DIM'!P4</f>
        <v>0</v>
      </c>
      <c r="R5" s="1224"/>
      <c r="S5" s="1224"/>
      <c r="T5" s="1224"/>
      <c r="U5" s="1224"/>
      <c r="V5" s="1224"/>
      <c r="W5" s="1224"/>
      <c r="X5" s="1224"/>
      <c r="Y5" s="1226"/>
      <c r="Z5" s="724"/>
      <c r="AA5" s="725"/>
      <c r="AB5" s="728"/>
      <c r="AC5" s="728"/>
      <c r="AD5" s="728"/>
      <c r="AE5" s="729"/>
      <c r="AF5" s="102"/>
      <c r="AG5" s="108"/>
      <c r="AH5" s="109"/>
      <c r="AI5" s="110" t="s">
        <v>53</v>
      </c>
      <c r="AJ5" s="1227">
        <f>'TWW-DIM'!AI4</f>
        <v>0</v>
      </c>
      <c r="AK5" s="1227"/>
      <c r="AL5" s="1227"/>
      <c r="AM5" s="1227"/>
      <c r="AN5" s="1227"/>
      <c r="AO5" s="1228"/>
      <c r="AP5" s="111"/>
      <c r="AQ5" s="112"/>
      <c r="AR5" s="113"/>
      <c r="AS5" s="114" t="s">
        <v>1</v>
      </c>
      <c r="AT5" s="1229">
        <f>'TWW-DIM'!AR4</f>
        <v>0</v>
      </c>
      <c r="AU5" s="1229"/>
      <c r="AV5" s="1229"/>
      <c r="AW5" s="1230"/>
      <c r="AY5" s="69"/>
      <c r="AZ5" s="1221"/>
      <c r="BA5" s="1222"/>
      <c r="BB5" s="1222"/>
      <c r="BC5" s="1222"/>
      <c r="BD5" s="1222"/>
      <c r="BE5" s="1222"/>
      <c r="BF5" s="1222"/>
      <c r="BG5" s="1222"/>
      <c r="BH5" s="1222"/>
      <c r="BI5" s="1222"/>
      <c r="BJ5" s="1222"/>
      <c r="BK5" s="1222"/>
      <c r="BL5" s="1222"/>
      <c r="BM5" s="1222"/>
      <c r="BN5" s="1222"/>
      <c r="BO5" s="1222"/>
      <c r="BP5" s="1222"/>
      <c r="BQ5" s="1222"/>
      <c r="BR5" s="1222"/>
      <c r="BS5" s="1222"/>
      <c r="BT5" s="1223"/>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row>
    <row r="6" spans="2:131" s="74" customFormat="1" ht="13.5" customHeight="1" thickTop="1">
      <c r="B6" s="407"/>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409"/>
      <c r="AX6" s="68"/>
      <c r="AY6" s="69"/>
      <c r="AZ6" s="1221"/>
      <c r="BA6" s="1222"/>
      <c r="BB6" s="1222"/>
      <c r="BC6" s="1222"/>
      <c r="BD6" s="1222"/>
      <c r="BE6" s="1222"/>
      <c r="BF6" s="1222"/>
      <c r="BG6" s="1222"/>
      <c r="BH6" s="1222"/>
      <c r="BI6" s="1222"/>
      <c r="BJ6" s="1222"/>
      <c r="BK6" s="1222"/>
      <c r="BL6" s="1222"/>
      <c r="BM6" s="1222"/>
      <c r="BN6" s="1222"/>
      <c r="BO6" s="1222"/>
      <c r="BP6" s="1222"/>
      <c r="BQ6" s="1222"/>
      <c r="BR6" s="1222"/>
      <c r="BS6" s="1222"/>
      <c r="BT6" s="1223"/>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row>
    <row r="7" spans="2:131" s="74" customFormat="1" ht="13.5" customHeight="1" thickBot="1">
      <c r="B7" s="398"/>
      <c r="C7" s="98"/>
      <c r="D7" s="98"/>
      <c r="E7" s="98"/>
      <c r="F7" s="98"/>
      <c r="G7" s="98"/>
      <c r="H7" s="98"/>
      <c r="I7" s="98"/>
      <c r="J7" s="399" t="s">
        <v>66</v>
      </c>
      <c r="K7" s="400" t="s">
        <v>8</v>
      </c>
      <c r="L7" s="98" t="s">
        <v>84</v>
      </c>
      <c r="M7" s="98"/>
      <c r="N7" s="98"/>
      <c r="O7" s="98"/>
      <c r="P7" s="98"/>
      <c r="Q7" s="98"/>
      <c r="R7" s="98" t="s">
        <v>80</v>
      </c>
      <c r="S7" s="401"/>
      <c r="T7" s="402"/>
      <c r="V7" s="1231" t="s">
        <v>192</v>
      </c>
      <c r="W7" s="1232"/>
      <c r="X7" s="1232"/>
      <c r="Y7" s="1232"/>
      <c r="Z7" s="1232"/>
      <c r="AA7" s="1232"/>
      <c r="AB7" s="1232"/>
      <c r="AC7" s="1232"/>
      <c r="AD7" s="1232"/>
      <c r="AE7" s="1232"/>
      <c r="AF7" s="1232"/>
      <c r="AG7" s="1232"/>
      <c r="AH7" s="1232"/>
      <c r="AI7" s="1232"/>
      <c r="AJ7" s="1232"/>
      <c r="AK7" s="1232"/>
      <c r="AL7" s="1232"/>
      <c r="AM7" s="1232"/>
      <c r="AN7" s="1232"/>
      <c r="AO7" s="1232"/>
      <c r="AP7" s="1232"/>
      <c r="AQ7" s="1232"/>
      <c r="AR7" s="1232"/>
      <c r="AS7" s="1232"/>
      <c r="AT7" s="1232"/>
      <c r="AU7" s="1232"/>
      <c r="AV7" s="1232"/>
      <c r="AW7" s="1233"/>
      <c r="AX7" s="68"/>
      <c r="AY7" s="69"/>
      <c r="AZ7" s="1221"/>
      <c r="BA7" s="1222"/>
      <c r="BB7" s="1222"/>
      <c r="BC7" s="1222"/>
      <c r="BD7" s="1222"/>
      <c r="BE7" s="1222"/>
      <c r="BF7" s="1222"/>
      <c r="BG7" s="1222"/>
      <c r="BH7" s="1222"/>
      <c r="BI7" s="1222"/>
      <c r="BJ7" s="1222"/>
      <c r="BK7" s="1222"/>
      <c r="BL7" s="1222"/>
      <c r="BM7" s="1222"/>
      <c r="BN7" s="1222"/>
      <c r="BO7" s="1222"/>
      <c r="BP7" s="1222"/>
      <c r="BQ7" s="1222"/>
      <c r="BR7" s="1222"/>
      <c r="BS7" s="1222"/>
      <c r="BT7" s="1223"/>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row>
    <row r="8" spans="2:131" s="74" customFormat="1" ht="13.5" customHeight="1">
      <c r="B8" s="80"/>
      <c r="C8" s="1240" t="s">
        <v>85</v>
      </c>
      <c r="D8" s="1241"/>
      <c r="E8" s="1241"/>
      <c r="F8" s="1241"/>
      <c r="G8" s="1241"/>
      <c r="H8" s="1242"/>
      <c r="I8" s="79"/>
      <c r="J8" s="376" t="s">
        <v>74</v>
      </c>
      <c r="K8" s="377" t="s">
        <v>8</v>
      </c>
      <c r="L8" s="87" t="s">
        <v>81</v>
      </c>
      <c r="M8" s="87"/>
      <c r="N8" s="87"/>
      <c r="O8" s="87"/>
      <c r="P8" s="87"/>
      <c r="Q8" s="87"/>
      <c r="R8" s="87"/>
      <c r="S8" s="87" t="s">
        <v>80</v>
      </c>
      <c r="T8" s="86"/>
      <c r="V8" s="1234"/>
      <c r="W8" s="1235"/>
      <c r="X8" s="1235"/>
      <c r="Y8" s="1235"/>
      <c r="Z8" s="1235"/>
      <c r="AA8" s="1235"/>
      <c r="AB8" s="1235"/>
      <c r="AC8" s="1235"/>
      <c r="AD8" s="1235"/>
      <c r="AE8" s="1235"/>
      <c r="AF8" s="1235"/>
      <c r="AG8" s="1235"/>
      <c r="AH8" s="1235"/>
      <c r="AI8" s="1235"/>
      <c r="AJ8" s="1235"/>
      <c r="AK8" s="1235"/>
      <c r="AL8" s="1235"/>
      <c r="AM8" s="1235"/>
      <c r="AN8" s="1235"/>
      <c r="AO8" s="1235"/>
      <c r="AP8" s="1235"/>
      <c r="AQ8" s="1235"/>
      <c r="AR8" s="1235"/>
      <c r="AS8" s="1235"/>
      <c r="AT8" s="1235"/>
      <c r="AU8" s="1235"/>
      <c r="AV8" s="1235"/>
      <c r="AW8" s="1236"/>
      <c r="AX8" s="68"/>
      <c r="AY8" s="69"/>
      <c r="AZ8" s="668"/>
      <c r="BA8" s="658"/>
      <c r="BB8" s="658"/>
      <c r="BC8" s="658"/>
      <c r="BD8" s="658"/>
      <c r="BE8" s="658"/>
      <c r="BF8" s="658"/>
      <c r="BG8" s="658"/>
      <c r="BH8" s="658"/>
      <c r="BI8" s="658"/>
      <c r="BJ8" s="658"/>
      <c r="BK8" s="658"/>
      <c r="BL8" s="658"/>
      <c r="BM8" s="658"/>
      <c r="BN8" s="658"/>
      <c r="BO8" s="659"/>
      <c r="BP8" s="659"/>
      <c r="BQ8" s="659"/>
      <c r="BR8" s="659"/>
      <c r="BS8" s="659"/>
      <c r="BT8" s="6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row>
    <row r="9" spans="2:131" s="74" customFormat="1" ht="13.5" customHeight="1" thickBot="1">
      <c r="B9" s="80"/>
      <c r="C9" s="1243"/>
      <c r="D9" s="1244"/>
      <c r="E9" s="1244"/>
      <c r="F9" s="1244"/>
      <c r="G9" s="1244"/>
      <c r="H9" s="1245"/>
      <c r="I9" s="100"/>
      <c r="J9" s="378"/>
      <c r="K9" s="379"/>
      <c r="L9" s="380" t="s">
        <v>78</v>
      </c>
      <c r="M9" s="94"/>
      <c r="N9" s="94"/>
      <c r="O9" s="94"/>
      <c r="P9" s="94"/>
      <c r="Q9" s="94"/>
      <c r="R9" s="94"/>
      <c r="S9" s="94"/>
      <c r="T9" s="92"/>
      <c r="V9" s="1234"/>
      <c r="W9" s="1235"/>
      <c r="X9" s="1235"/>
      <c r="Y9" s="1235"/>
      <c r="Z9" s="1235"/>
      <c r="AA9" s="1235"/>
      <c r="AB9" s="1235"/>
      <c r="AC9" s="1235"/>
      <c r="AD9" s="1235"/>
      <c r="AE9" s="1235"/>
      <c r="AF9" s="1235"/>
      <c r="AG9" s="1235"/>
      <c r="AH9" s="1235"/>
      <c r="AI9" s="1235"/>
      <c r="AJ9" s="1235"/>
      <c r="AK9" s="1235"/>
      <c r="AL9" s="1235"/>
      <c r="AM9" s="1235"/>
      <c r="AN9" s="1235"/>
      <c r="AO9" s="1235"/>
      <c r="AP9" s="1235"/>
      <c r="AQ9" s="1235"/>
      <c r="AR9" s="1235"/>
      <c r="AS9" s="1235"/>
      <c r="AT9" s="1235"/>
      <c r="AU9" s="1235"/>
      <c r="AV9" s="1235"/>
      <c r="AW9" s="1236"/>
      <c r="AX9" s="68"/>
      <c r="AY9" s="69"/>
      <c r="AZ9" s="1221" t="s">
        <v>255</v>
      </c>
      <c r="BA9" s="1222"/>
      <c r="BB9" s="1222"/>
      <c r="BC9" s="1222"/>
      <c r="BD9" s="1222"/>
      <c r="BE9" s="1222"/>
      <c r="BF9" s="1222"/>
      <c r="BG9" s="1222"/>
      <c r="BH9" s="1222"/>
      <c r="BI9" s="1222"/>
      <c r="BJ9" s="1222"/>
      <c r="BK9" s="1222"/>
      <c r="BL9" s="1222"/>
      <c r="BM9" s="1222"/>
      <c r="BN9" s="1222"/>
      <c r="BO9" s="1222"/>
      <c r="BP9" s="1222"/>
      <c r="BQ9" s="1222"/>
      <c r="BR9" s="1222"/>
      <c r="BS9" s="1222"/>
      <c r="BT9" s="1223"/>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row>
    <row r="10" spans="2:131" s="74" customFormat="1" ht="13.5" customHeight="1">
      <c r="B10" s="80"/>
      <c r="C10" s="79"/>
      <c r="D10" s="79"/>
      <c r="E10" s="79"/>
      <c r="F10" s="79"/>
      <c r="G10" s="79"/>
      <c r="H10" s="79"/>
      <c r="I10" s="79"/>
      <c r="J10" s="96" t="s">
        <v>77</v>
      </c>
      <c r="K10" s="96"/>
      <c r="L10" s="95" t="s">
        <v>8</v>
      </c>
      <c r="M10" s="79" t="s">
        <v>71</v>
      </c>
      <c r="N10" s="79"/>
      <c r="O10" s="79"/>
      <c r="P10" s="79"/>
      <c r="Q10" s="79"/>
      <c r="R10" s="79"/>
      <c r="S10" s="79"/>
      <c r="T10" s="78"/>
      <c r="V10" s="1237"/>
      <c r="W10" s="1238"/>
      <c r="X10" s="1238"/>
      <c r="Y10" s="1238"/>
      <c r="Z10" s="1238"/>
      <c r="AA10" s="1238"/>
      <c r="AB10" s="1238"/>
      <c r="AC10" s="1238"/>
      <c r="AD10" s="1238"/>
      <c r="AE10" s="1238"/>
      <c r="AF10" s="1238"/>
      <c r="AG10" s="1238"/>
      <c r="AH10" s="1238"/>
      <c r="AI10" s="1238"/>
      <c r="AJ10" s="1238"/>
      <c r="AK10" s="1238"/>
      <c r="AL10" s="1238"/>
      <c r="AM10" s="1238"/>
      <c r="AN10" s="1238"/>
      <c r="AO10" s="1238"/>
      <c r="AP10" s="1238"/>
      <c r="AQ10" s="1238"/>
      <c r="AR10" s="1238"/>
      <c r="AS10" s="1238"/>
      <c r="AT10" s="1238"/>
      <c r="AU10" s="1238"/>
      <c r="AV10" s="1238"/>
      <c r="AW10" s="1239"/>
      <c r="AX10" s="68"/>
      <c r="AY10" s="69"/>
      <c r="AZ10" s="1221"/>
      <c r="BA10" s="1222"/>
      <c r="BB10" s="1222"/>
      <c r="BC10" s="1222"/>
      <c r="BD10" s="1222"/>
      <c r="BE10" s="1222"/>
      <c r="BF10" s="1222"/>
      <c r="BG10" s="1222"/>
      <c r="BH10" s="1222"/>
      <c r="BI10" s="1222"/>
      <c r="BJ10" s="1222"/>
      <c r="BK10" s="1222"/>
      <c r="BL10" s="1222"/>
      <c r="BM10" s="1222"/>
      <c r="BN10" s="1222"/>
      <c r="BO10" s="1222"/>
      <c r="BP10" s="1222"/>
      <c r="BQ10" s="1222"/>
      <c r="BR10" s="1222"/>
      <c r="BS10" s="1222"/>
      <c r="BT10" s="1223"/>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row>
    <row r="11" spans="2:131" s="74" customFormat="1" ht="13.5" customHeight="1" thickBot="1">
      <c r="B11" s="403"/>
      <c r="C11" s="96"/>
      <c r="D11" s="79"/>
      <c r="E11" s="79"/>
      <c r="F11" s="79"/>
      <c r="G11" s="79"/>
      <c r="H11" s="79"/>
      <c r="I11" s="79"/>
      <c r="J11" s="79"/>
      <c r="K11" s="79"/>
      <c r="L11" s="79"/>
      <c r="M11" s="91" t="s">
        <v>76</v>
      </c>
      <c r="N11" s="79"/>
      <c r="O11" s="79"/>
      <c r="P11" s="79"/>
      <c r="Q11" s="79"/>
      <c r="R11" s="79"/>
      <c r="S11" s="79"/>
      <c r="T11" s="78"/>
      <c r="V11" s="374"/>
      <c r="W11" s="374"/>
      <c r="X11" s="374"/>
      <c r="Y11" s="374"/>
      <c r="Z11" s="374"/>
      <c r="AW11" s="409"/>
      <c r="AX11" s="68"/>
      <c r="AY11" s="69"/>
      <c r="AZ11" s="1221"/>
      <c r="BA11" s="1222"/>
      <c r="BB11" s="1222"/>
      <c r="BC11" s="1222"/>
      <c r="BD11" s="1222"/>
      <c r="BE11" s="1222"/>
      <c r="BF11" s="1222"/>
      <c r="BG11" s="1222"/>
      <c r="BH11" s="1222"/>
      <c r="BI11" s="1222"/>
      <c r="BJ11" s="1222"/>
      <c r="BK11" s="1222"/>
      <c r="BL11" s="1222"/>
      <c r="BM11" s="1222"/>
      <c r="BN11" s="1222"/>
      <c r="BO11" s="1222"/>
      <c r="BP11" s="1222"/>
      <c r="BQ11" s="1222"/>
      <c r="BR11" s="1222"/>
      <c r="BS11" s="1222"/>
      <c r="BT11" s="1223"/>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row>
    <row r="12" spans="2:131" s="74" customFormat="1" ht="13.5" customHeight="1" thickBot="1">
      <c r="B12" s="392" t="s">
        <v>202</v>
      </c>
      <c r="C12" s="404"/>
      <c r="D12" s="404"/>
      <c r="E12" s="404"/>
      <c r="F12" s="404"/>
      <c r="G12" s="404"/>
      <c r="H12" s="404"/>
      <c r="I12" s="404"/>
      <c r="J12" s="404"/>
      <c r="K12" s="404"/>
      <c r="L12" s="404"/>
      <c r="M12" s="404"/>
      <c r="N12" s="404"/>
      <c r="O12" s="404"/>
      <c r="P12" s="404"/>
      <c r="Q12" s="404"/>
      <c r="R12" s="404"/>
      <c r="S12" s="404"/>
      <c r="T12" s="404"/>
      <c r="U12" s="385"/>
      <c r="V12" s="404"/>
      <c r="W12" s="404"/>
      <c r="X12" s="404"/>
      <c r="Y12" s="404"/>
      <c r="Z12" s="404"/>
      <c r="AA12" s="385"/>
      <c r="AB12" s="405"/>
      <c r="AC12" s="1246">
        <v>0.2</v>
      </c>
      <c r="AD12" s="1247"/>
      <c r="AE12" s="89" t="s">
        <v>73</v>
      </c>
      <c r="AF12" s="89" t="s">
        <v>75</v>
      </c>
      <c r="AG12" s="90" t="s">
        <v>74</v>
      </c>
      <c r="AH12" s="89" t="s">
        <v>73</v>
      </c>
      <c r="AI12" s="1247">
        <v>500</v>
      </c>
      <c r="AJ12" s="1248"/>
      <c r="AK12" s="406" t="s">
        <v>203</v>
      </c>
      <c r="AL12" s="385"/>
      <c r="AM12" s="385"/>
      <c r="AN12" s="385"/>
      <c r="AO12" s="385"/>
      <c r="AP12" s="385"/>
      <c r="AQ12" s="385"/>
      <c r="AR12" s="385"/>
      <c r="AS12" s="385"/>
      <c r="AT12" s="385"/>
      <c r="AU12" s="385"/>
      <c r="AV12" s="385"/>
      <c r="AW12" s="393"/>
      <c r="AX12" s="68"/>
      <c r="AY12" s="69"/>
      <c r="AZ12" s="1221"/>
      <c r="BA12" s="1222"/>
      <c r="BB12" s="1222"/>
      <c r="BC12" s="1222"/>
      <c r="BD12" s="1222"/>
      <c r="BE12" s="1222"/>
      <c r="BF12" s="1222"/>
      <c r="BG12" s="1222"/>
      <c r="BH12" s="1222"/>
      <c r="BI12" s="1222"/>
      <c r="BJ12" s="1222"/>
      <c r="BK12" s="1222"/>
      <c r="BL12" s="1222"/>
      <c r="BM12" s="1222"/>
      <c r="BN12" s="1222"/>
      <c r="BO12" s="1222"/>
      <c r="BP12" s="1222"/>
      <c r="BQ12" s="1222"/>
      <c r="BR12" s="1222"/>
      <c r="BS12" s="1222"/>
      <c r="BT12" s="1223"/>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row>
    <row r="13" spans="2:131" s="74" customFormat="1" ht="13.5" customHeight="1">
      <c r="B13" s="408"/>
      <c r="C13" s="374"/>
      <c r="D13" s="374"/>
      <c r="E13" s="374"/>
      <c r="F13" s="374"/>
      <c r="G13" s="374"/>
      <c r="H13" s="374"/>
      <c r="I13" s="374"/>
      <c r="J13" s="374"/>
      <c r="K13" s="374"/>
      <c r="L13" s="374"/>
      <c r="M13" s="374"/>
      <c r="N13" s="374"/>
      <c r="O13" s="374"/>
      <c r="P13" s="375"/>
      <c r="Q13" s="374"/>
      <c r="R13" s="374"/>
      <c r="S13" s="374"/>
      <c r="T13" s="374"/>
      <c r="V13" s="374"/>
      <c r="W13" s="374"/>
      <c r="X13" s="374"/>
      <c r="Y13" s="374"/>
      <c r="Z13" s="374"/>
      <c r="AW13" s="387"/>
      <c r="AX13" s="68"/>
      <c r="AY13" s="69"/>
      <c r="AZ13" s="668"/>
      <c r="BA13" s="658"/>
      <c r="BB13" s="658"/>
      <c r="BC13" s="658"/>
      <c r="BD13" s="658"/>
      <c r="BE13" s="658"/>
      <c r="BF13" s="658"/>
      <c r="BG13" s="658"/>
      <c r="BH13" s="658"/>
      <c r="BI13" s="658"/>
      <c r="BJ13" s="658"/>
      <c r="BK13" s="658"/>
      <c r="BL13" s="658"/>
      <c r="BM13" s="658"/>
      <c r="BN13" s="658"/>
      <c r="BO13" s="659"/>
      <c r="BP13" s="659"/>
      <c r="BQ13" s="659"/>
      <c r="BR13" s="659"/>
      <c r="BS13" s="659"/>
      <c r="BT13" s="6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row>
    <row r="14" spans="2:131" s="74" customFormat="1" ht="13.5" customHeight="1" thickBot="1">
      <c r="B14" s="1257" t="s">
        <v>86</v>
      </c>
      <c r="C14" s="1258"/>
      <c r="D14" s="1262">
        <f>'TWW-DIM'!AC15</f>
        <v>0</v>
      </c>
      <c r="E14" s="1263"/>
      <c r="F14" s="1263"/>
      <c r="G14" s="1263"/>
      <c r="H14" s="395"/>
      <c r="I14" s="395"/>
      <c r="J14" s="395"/>
      <c r="K14" s="395"/>
      <c r="L14" s="395"/>
      <c r="M14" s="416" t="s">
        <v>197</v>
      </c>
      <c r="N14" s="1264">
        <f>'TWW-DIM'!$N$16</f>
        <v>10</v>
      </c>
      <c r="O14" s="1265"/>
      <c r="P14" s="1266" t="s">
        <v>198</v>
      </c>
      <c r="Q14" s="1267"/>
      <c r="R14" s="1267"/>
      <c r="S14" s="1268">
        <f>MAX(G17,G19,G21,G23)</f>
        <v>38</v>
      </c>
      <c r="T14" s="1269"/>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6"/>
      <c r="AX14" s="68"/>
      <c r="AY14" s="69"/>
      <c r="AZ14" s="1303" t="s">
        <v>59</v>
      </c>
      <c r="BA14" s="1304"/>
      <c r="BB14" s="1304"/>
      <c r="BC14" s="1304"/>
      <c r="BD14" s="1304"/>
      <c r="BE14" s="1304"/>
      <c r="BF14" s="1304"/>
      <c r="BG14" s="1304"/>
      <c r="BH14" s="1304"/>
      <c r="BI14" s="1304"/>
      <c r="BJ14" s="1304"/>
      <c r="BK14" s="1304"/>
      <c r="BL14" s="1304"/>
      <c r="BM14" s="1304"/>
      <c r="BN14" s="1304"/>
      <c r="BO14" s="1304"/>
      <c r="BP14" s="1304"/>
      <c r="BQ14" s="1304"/>
      <c r="BR14" s="1304"/>
      <c r="BS14" s="1304"/>
      <c r="BT14" s="1305"/>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row>
    <row r="15" spans="2:131" s="74" customFormat="1" ht="13.5" customHeight="1" thickTop="1">
      <c r="B15" s="1259"/>
      <c r="C15" s="1260"/>
      <c r="D15" s="1306" t="s">
        <v>193</v>
      </c>
      <c r="E15" s="1307"/>
      <c r="F15" s="1307"/>
      <c r="G15" s="1307"/>
      <c r="H15" s="1307"/>
      <c r="I15" s="1307"/>
      <c r="J15" s="1307"/>
      <c r="K15" s="1307"/>
      <c r="L15" s="1307"/>
      <c r="M15" s="1307"/>
      <c r="N15" s="79"/>
      <c r="O15" s="79"/>
      <c r="P15" s="1308" t="s">
        <v>194</v>
      </c>
      <c r="Q15" s="1309"/>
      <c r="R15" s="1310"/>
      <c r="S15" s="417"/>
      <c r="T15" s="418"/>
      <c r="U15" s="418"/>
      <c r="V15" s="418"/>
      <c r="W15" s="418"/>
      <c r="X15" s="418"/>
      <c r="Y15" s="418"/>
      <c r="Z15" s="418"/>
      <c r="AA15" s="419"/>
      <c r="AB15" s="75"/>
      <c r="AC15" s="616" t="s">
        <v>248</v>
      </c>
      <c r="AD15" s="397"/>
      <c r="AE15" s="397"/>
      <c r="AF15" s="397"/>
      <c r="AG15" s="397"/>
      <c r="AH15" s="397" t="str">
        <f>IF(B30="X","ja","nein")</f>
        <v>nein</v>
      </c>
      <c r="AI15" s="397"/>
      <c r="AJ15" s="1311" t="s">
        <v>55</v>
      </c>
      <c r="AK15" s="1312"/>
      <c r="AL15" s="1308" t="s">
        <v>194</v>
      </c>
      <c r="AM15" s="1309"/>
      <c r="AN15" s="1310"/>
      <c r="AO15" s="79"/>
      <c r="AP15" s="79"/>
      <c r="AQ15" s="79"/>
      <c r="AR15" s="79"/>
      <c r="AS15" s="79"/>
      <c r="AT15" s="79"/>
      <c r="AU15" s="79"/>
      <c r="AV15" s="79"/>
      <c r="AW15" s="78"/>
      <c r="AX15" s="68"/>
      <c r="AY15" s="69"/>
      <c r="AZ15" s="1303"/>
      <c r="BA15" s="1304"/>
      <c r="BB15" s="1304"/>
      <c r="BC15" s="1304"/>
      <c r="BD15" s="1304"/>
      <c r="BE15" s="1304"/>
      <c r="BF15" s="1304"/>
      <c r="BG15" s="1304"/>
      <c r="BH15" s="1304"/>
      <c r="BI15" s="1304"/>
      <c r="BJ15" s="1304"/>
      <c r="BK15" s="1304"/>
      <c r="BL15" s="1304"/>
      <c r="BM15" s="1304"/>
      <c r="BN15" s="1304"/>
      <c r="BO15" s="1304"/>
      <c r="BP15" s="1304"/>
      <c r="BQ15" s="1304"/>
      <c r="BR15" s="1304"/>
      <c r="BS15" s="1304"/>
      <c r="BT15" s="1305"/>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row>
    <row r="16" spans="2:131" s="74" customFormat="1" ht="13.5" customHeight="1">
      <c r="B16" s="1259"/>
      <c r="C16" s="1260"/>
      <c r="D16" s="99" t="s">
        <v>13</v>
      </c>
      <c r="E16" s="98"/>
      <c r="F16" s="98"/>
      <c r="G16" s="1313" t="s">
        <v>83</v>
      </c>
      <c r="H16" s="1313"/>
      <c r="I16" s="1313" t="s">
        <v>82</v>
      </c>
      <c r="J16" s="1313"/>
      <c r="K16" s="1313"/>
      <c r="L16" s="1313"/>
      <c r="M16" s="1313"/>
      <c r="N16" s="1314" t="s">
        <v>188</v>
      </c>
      <c r="O16" s="1314"/>
      <c r="P16" s="1315" t="s">
        <v>195</v>
      </c>
      <c r="Q16" s="1316"/>
      <c r="R16" s="1317"/>
      <c r="S16" s="1318" t="s">
        <v>196</v>
      </c>
      <c r="T16" s="1309"/>
      <c r="U16" s="1309"/>
      <c r="V16" s="1309"/>
      <c r="W16" s="1309"/>
      <c r="X16" s="1309"/>
      <c r="Y16" s="1309"/>
      <c r="Z16" s="1309"/>
      <c r="AA16" s="1319"/>
      <c r="AB16" s="75"/>
      <c r="AC16" s="433"/>
      <c r="AD16" s="374"/>
      <c r="AE16" s="374"/>
      <c r="AF16" s="374"/>
      <c r="AG16" s="374"/>
      <c r="AH16" s="374"/>
      <c r="AI16" s="434"/>
      <c r="AJ16" s="1270" t="s">
        <v>188</v>
      </c>
      <c r="AK16" s="1271"/>
      <c r="AL16" s="1315" t="s">
        <v>195</v>
      </c>
      <c r="AM16" s="1316"/>
      <c r="AN16" s="1317"/>
      <c r="AO16" s="1318" t="s">
        <v>196</v>
      </c>
      <c r="AP16" s="1309"/>
      <c r="AQ16" s="1309"/>
      <c r="AR16" s="1309"/>
      <c r="AS16" s="1309"/>
      <c r="AT16" s="1309"/>
      <c r="AU16" s="1309"/>
      <c r="AV16" s="1309"/>
      <c r="AW16" s="1319"/>
      <c r="AX16" s="68"/>
      <c r="AY16" s="69"/>
      <c r="AZ16" s="668"/>
      <c r="BA16" s="658"/>
      <c r="BB16" s="658"/>
      <c r="BC16" s="658"/>
      <c r="BD16" s="658"/>
      <c r="BE16" s="658"/>
      <c r="BF16" s="658"/>
      <c r="BG16" s="658"/>
      <c r="BH16" s="658"/>
      <c r="BI16" s="658"/>
      <c r="BJ16" s="658"/>
      <c r="BK16" s="658"/>
      <c r="BL16" s="658"/>
      <c r="BM16" s="658"/>
      <c r="BN16" s="658"/>
      <c r="BO16" s="659"/>
      <c r="BP16" s="659"/>
      <c r="BQ16" s="659"/>
      <c r="BR16" s="659"/>
      <c r="BS16" s="659"/>
      <c r="BT16" s="6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row>
    <row r="17" spans="2:131" s="74" customFormat="1" ht="13.5" customHeight="1">
      <c r="B17" s="1259"/>
      <c r="C17" s="1260"/>
      <c r="D17" s="1274">
        <f>'TWW-DIM'!$AJ$17</f>
        <v>0</v>
      </c>
      <c r="E17" s="1275"/>
      <c r="F17" s="94"/>
      <c r="G17" s="1276">
        <f>'TWW-DIM'!N11</f>
        <v>38</v>
      </c>
      <c r="H17" s="1277"/>
      <c r="I17" s="93" t="s">
        <v>72</v>
      </c>
      <c r="J17" s="1278">
        <f>'TWW-DIM'!$J$11</f>
        <v>10</v>
      </c>
      <c r="K17" s="1279"/>
      <c r="L17" s="1280"/>
      <c r="M17" s="93" t="s">
        <v>72</v>
      </c>
      <c r="N17" s="1281">
        <f>IF(D14&lt;=D17,D14,D17)</f>
        <v>0</v>
      </c>
      <c r="O17" s="1273"/>
      <c r="P17" s="1282">
        <f>J17/60*N17</f>
        <v>0</v>
      </c>
      <c r="Q17" s="1283"/>
      <c r="R17" s="1284"/>
      <c r="S17" s="1283">
        <f>P17*(G17-N14)/(S25-N14)</f>
        <v>0</v>
      </c>
      <c r="T17" s="1283"/>
      <c r="U17" s="1283"/>
      <c r="V17" s="1285">
        <f>P17*(G17-N14)/(V25-N14)</f>
        <v>0</v>
      </c>
      <c r="W17" s="1283"/>
      <c r="X17" s="1286"/>
      <c r="Y17" s="1283">
        <f>P17*(G17-N14)/(Y25-N14)</f>
        <v>0</v>
      </c>
      <c r="Z17" s="1283"/>
      <c r="AA17" s="1287"/>
      <c r="AB17" s="75"/>
      <c r="AC17" s="435"/>
      <c r="AD17" s="374"/>
      <c r="AE17" s="374"/>
      <c r="AF17" s="374"/>
      <c r="AG17" s="374"/>
      <c r="AH17" s="374"/>
      <c r="AI17" s="434"/>
      <c r="AJ17" s="1272">
        <f>'TWW-DIM'!AJ18</f>
        <v>0</v>
      </c>
      <c r="AK17" s="1273"/>
      <c r="AL17" s="1282">
        <f>J17/60*AJ17</f>
        <v>0</v>
      </c>
      <c r="AM17" s="1283"/>
      <c r="AN17" s="1284"/>
      <c r="AO17" s="1283">
        <f>AL17*(G17-N14)/(AO25-N14)</f>
        <v>0</v>
      </c>
      <c r="AP17" s="1283"/>
      <c r="AQ17" s="1283"/>
      <c r="AR17" s="1285">
        <f>AL17*(G17-N14)/(AR25-N14)</f>
        <v>0</v>
      </c>
      <c r="AS17" s="1283"/>
      <c r="AT17" s="1286"/>
      <c r="AU17" s="1283">
        <f>AL17*(G17-N14)/(AU25-N14)</f>
        <v>0</v>
      </c>
      <c r="AV17" s="1283"/>
      <c r="AW17" s="1287"/>
      <c r="AX17" s="68"/>
      <c r="AY17" s="69"/>
      <c r="AZ17" s="1303" t="s">
        <v>58</v>
      </c>
      <c r="BA17" s="1304"/>
      <c r="BB17" s="1304"/>
      <c r="BC17" s="1304"/>
      <c r="BD17" s="1304"/>
      <c r="BE17" s="1304"/>
      <c r="BF17" s="1304"/>
      <c r="BG17" s="1304"/>
      <c r="BH17" s="1304"/>
      <c r="BI17" s="1304"/>
      <c r="BJ17" s="1304"/>
      <c r="BK17" s="1304"/>
      <c r="BL17" s="1304"/>
      <c r="BM17" s="1304"/>
      <c r="BN17" s="1304"/>
      <c r="BO17" s="1304"/>
      <c r="BP17" s="1304"/>
      <c r="BQ17" s="1304"/>
      <c r="BR17" s="1304"/>
      <c r="BS17" s="1304"/>
      <c r="BT17" s="1305"/>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row>
    <row r="18" spans="2:131" s="74" customFormat="1" ht="13.5" customHeight="1">
      <c r="B18" s="1259"/>
      <c r="C18" s="1260"/>
      <c r="D18" s="97" t="s">
        <v>79</v>
      </c>
      <c r="E18" s="79"/>
      <c r="F18" s="79"/>
      <c r="G18" s="79"/>
      <c r="H18" s="79"/>
      <c r="I18" s="79"/>
      <c r="J18" s="79"/>
      <c r="K18" s="79"/>
      <c r="L18" s="79"/>
      <c r="M18" s="79"/>
      <c r="N18" s="1320">
        <f>D19+D17</f>
        <v>0</v>
      </c>
      <c r="O18" s="1321"/>
      <c r="P18" s="80"/>
      <c r="Q18" s="79"/>
      <c r="R18" s="382"/>
      <c r="S18" s="79"/>
      <c r="T18" s="79"/>
      <c r="U18" s="79"/>
      <c r="V18" s="386"/>
      <c r="W18" s="79"/>
      <c r="X18" s="387"/>
      <c r="Y18" s="79"/>
      <c r="Z18" s="79"/>
      <c r="AA18" s="78"/>
      <c r="AB18" s="75"/>
      <c r="AC18" s="435"/>
      <c r="AD18" s="374"/>
      <c r="AE18" s="374"/>
      <c r="AF18" s="374"/>
      <c r="AG18" s="374"/>
      <c r="AH18" s="374"/>
      <c r="AI18" s="434"/>
      <c r="AJ18" s="1322"/>
      <c r="AK18" s="1321"/>
      <c r="AL18" s="80"/>
      <c r="AM18" s="79"/>
      <c r="AN18" s="382"/>
      <c r="AO18" s="79"/>
      <c r="AP18" s="79"/>
      <c r="AQ18" s="79"/>
      <c r="AR18" s="386"/>
      <c r="AS18" s="79"/>
      <c r="AT18" s="387"/>
      <c r="AU18" s="79"/>
      <c r="AV18" s="79"/>
      <c r="AW18" s="78"/>
      <c r="AX18" s="68"/>
      <c r="AY18" s="69"/>
      <c r="AZ18" s="1303"/>
      <c r="BA18" s="1304"/>
      <c r="BB18" s="1304"/>
      <c r="BC18" s="1304"/>
      <c r="BD18" s="1304"/>
      <c r="BE18" s="1304"/>
      <c r="BF18" s="1304"/>
      <c r="BG18" s="1304"/>
      <c r="BH18" s="1304"/>
      <c r="BI18" s="1304"/>
      <c r="BJ18" s="1304"/>
      <c r="BK18" s="1304"/>
      <c r="BL18" s="1304"/>
      <c r="BM18" s="1304"/>
      <c r="BN18" s="1304"/>
      <c r="BO18" s="1304"/>
      <c r="BP18" s="1304"/>
      <c r="BQ18" s="1304"/>
      <c r="BR18" s="1304"/>
      <c r="BS18" s="1304"/>
      <c r="BT18" s="1305"/>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row>
    <row r="19" spans="2:131" s="74" customFormat="1" ht="13.5" customHeight="1">
      <c r="B19" s="1259"/>
      <c r="C19" s="1260"/>
      <c r="D19" s="1274">
        <f>'TWW-DIM'!$AM$17</f>
        <v>0</v>
      </c>
      <c r="E19" s="1275"/>
      <c r="F19" s="79"/>
      <c r="G19" s="1276">
        <f>'TWW-DIM'!N12</f>
        <v>30</v>
      </c>
      <c r="H19" s="1277"/>
      <c r="I19" s="85" t="s">
        <v>72</v>
      </c>
      <c r="J19" s="1278">
        <f>'TWW-DIM'!$J$12</f>
        <v>4.5</v>
      </c>
      <c r="K19" s="1279"/>
      <c r="L19" s="1280"/>
      <c r="M19" s="85" t="s">
        <v>72</v>
      </c>
      <c r="N19" s="1281">
        <f>IF(N18&gt;D14,D14-N17,D19)</f>
        <v>0</v>
      </c>
      <c r="O19" s="1273"/>
      <c r="P19" s="1282">
        <f>J19/60*N19</f>
        <v>0</v>
      </c>
      <c r="Q19" s="1283"/>
      <c r="R19" s="1284"/>
      <c r="S19" s="1283">
        <f>P19*(G19-N14)/(S25-N14)</f>
        <v>0</v>
      </c>
      <c r="T19" s="1283"/>
      <c r="U19" s="1283"/>
      <c r="V19" s="1285">
        <f>P19*(G19-N14)/(V25-N14)</f>
        <v>0</v>
      </c>
      <c r="W19" s="1283"/>
      <c r="X19" s="1286"/>
      <c r="Y19" s="1283">
        <f>P19*(G19-N14)/(Y25-N14)</f>
        <v>0</v>
      </c>
      <c r="Z19" s="1283"/>
      <c r="AA19" s="1287"/>
      <c r="AB19" s="75"/>
      <c r="AC19" s="435"/>
      <c r="AD19" s="374"/>
      <c r="AE19" s="374"/>
      <c r="AF19" s="374"/>
      <c r="AG19" s="374"/>
      <c r="AH19" s="374"/>
      <c r="AI19" s="434"/>
      <c r="AJ19" s="1272">
        <f>'TWW-DIM'!AM18</f>
        <v>0</v>
      </c>
      <c r="AK19" s="1273"/>
      <c r="AL19" s="1282">
        <f>J19/60*AJ19</f>
        <v>0</v>
      </c>
      <c r="AM19" s="1283"/>
      <c r="AN19" s="1284"/>
      <c r="AO19" s="1283">
        <f>AL19*(G19-N14)/(AO25-N14)</f>
        <v>0</v>
      </c>
      <c r="AP19" s="1283"/>
      <c r="AQ19" s="1283"/>
      <c r="AR19" s="1285">
        <f>AL19*(G19-N14)/(AR25-N14)</f>
        <v>0</v>
      </c>
      <c r="AS19" s="1283"/>
      <c r="AT19" s="1286"/>
      <c r="AU19" s="1283">
        <f>AL19*(G19-N14)/(AU25-N14)</f>
        <v>0</v>
      </c>
      <c r="AV19" s="1283"/>
      <c r="AW19" s="1287"/>
      <c r="AX19" s="68"/>
      <c r="AY19" s="69"/>
      <c r="AZ19" s="668"/>
      <c r="BA19" s="658"/>
      <c r="BB19" s="658"/>
      <c r="BC19" s="658"/>
      <c r="BD19" s="658"/>
      <c r="BE19" s="658"/>
      <c r="BF19" s="658"/>
      <c r="BG19" s="658"/>
      <c r="BH19" s="658"/>
      <c r="BI19" s="658"/>
      <c r="BJ19" s="658"/>
      <c r="BK19" s="658"/>
      <c r="BL19" s="658"/>
      <c r="BM19" s="658"/>
      <c r="BN19" s="658"/>
      <c r="BO19" s="659"/>
      <c r="BP19" s="659"/>
      <c r="BQ19" s="659"/>
      <c r="BR19" s="659"/>
      <c r="BS19" s="659"/>
      <c r="BT19" s="6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row>
    <row r="20" spans="2:131" s="74" customFormat="1" ht="13.5" customHeight="1">
      <c r="B20" s="1259"/>
      <c r="C20" s="1260"/>
      <c r="D20" s="1325">
        <f>'TWW-DIM'!$A$13</f>
        <v>0</v>
      </c>
      <c r="E20" s="1326"/>
      <c r="F20" s="1326"/>
      <c r="G20" s="1326"/>
      <c r="H20" s="1326"/>
      <c r="I20" s="87"/>
      <c r="J20" s="87"/>
      <c r="K20" s="87"/>
      <c r="L20" s="87"/>
      <c r="M20" s="87"/>
      <c r="N20" s="87"/>
      <c r="O20" s="87"/>
      <c r="P20" s="88"/>
      <c r="Q20" s="87"/>
      <c r="R20" s="383"/>
      <c r="S20" s="87"/>
      <c r="T20" s="87"/>
      <c r="U20" s="87"/>
      <c r="V20" s="388"/>
      <c r="W20" s="87"/>
      <c r="X20" s="389"/>
      <c r="Y20" s="87"/>
      <c r="Z20" s="87"/>
      <c r="AA20" s="86"/>
      <c r="AB20" s="75"/>
      <c r="AC20" s="435"/>
      <c r="AD20" s="374"/>
      <c r="AE20" s="374"/>
      <c r="AF20" s="374"/>
      <c r="AG20" s="374"/>
      <c r="AH20" s="374"/>
      <c r="AI20" s="434"/>
      <c r="AJ20" s="617"/>
      <c r="AK20" s="618"/>
      <c r="AL20" s="617"/>
      <c r="AM20" s="618"/>
      <c r="AN20" s="619"/>
      <c r="AO20" s="618"/>
      <c r="AP20" s="618"/>
      <c r="AQ20" s="618"/>
      <c r="AR20" s="620"/>
      <c r="AS20" s="618"/>
      <c r="AT20" s="621"/>
      <c r="AU20" s="618"/>
      <c r="AV20" s="618"/>
      <c r="AW20" s="622"/>
      <c r="AX20" s="68"/>
      <c r="AY20" s="69"/>
      <c r="AZ20" s="1303" t="s">
        <v>263</v>
      </c>
      <c r="BA20" s="1304"/>
      <c r="BB20" s="1304"/>
      <c r="BC20" s="1304"/>
      <c r="BD20" s="1304"/>
      <c r="BE20" s="1304"/>
      <c r="BF20" s="1304"/>
      <c r="BG20" s="1304"/>
      <c r="BH20" s="1304"/>
      <c r="BI20" s="1304"/>
      <c r="BJ20" s="1304"/>
      <c r="BK20" s="1304"/>
      <c r="BL20" s="1304"/>
      <c r="BM20" s="1304"/>
      <c r="BN20" s="1304"/>
      <c r="BO20" s="1304"/>
      <c r="BP20" s="1304"/>
      <c r="BQ20" s="1304"/>
      <c r="BR20" s="1304"/>
      <c r="BS20" s="1304"/>
      <c r="BT20" s="1305"/>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row>
    <row r="21" spans="2:131" s="74" customFormat="1" ht="13.5" customHeight="1">
      <c r="B21" s="1259"/>
      <c r="C21" s="1260"/>
      <c r="D21" s="1327">
        <f>'TWW-DIM'!AP17</f>
        <v>0</v>
      </c>
      <c r="E21" s="1328"/>
      <c r="F21" s="94"/>
      <c r="G21" s="1276">
        <f>'TWW-DIM'!N13</f>
        <v>0</v>
      </c>
      <c r="H21" s="1277"/>
      <c r="I21" s="93" t="s">
        <v>72</v>
      </c>
      <c r="J21" s="1278">
        <f>'TWW-DIM'!$J$13</f>
        <v>0</v>
      </c>
      <c r="K21" s="1279"/>
      <c r="L21" s="1280"/>
      <c r="M21" s="93" t="s">
        <v>72</v>
      </c>
      <c r="N21" s="1281">
        <f>'TWW-DIM'!AA16</f>
        <v>0</v>
      </c>
      <c r="O21" s="1273"/>
      <c r="P21" s="1282">
        <f>IF(D20="","",J21/60*N21)</f>
        <v>0</v>
      </c>
      <c r="Q21" s="1283"/>
      <c r="R21" s="1284"/>
      <c r="S21" s="1283">
        <f>P21*(G21-N14)/(S25-N14)</f>
        <v>0</v>
      </c>
      <c r="T21" s="1283"/>
      <c r="U21" s="1283"/>
      <c r="V21" s="1285">
        <f>P21*(G21-N14)/(V25-N14)</f>
        <v>0</v>
      </c>
      <c r="W21" s="1283"/>
      <c r="X21" s="1286"/>
      <c r="Y21" s="1283">
        <f>P21*(G21-N14)/(Y25-N14)</f>
        <v>0</v>
      </c>
      <c r="Z21" s="1283"/>
      <c r="AA21" s="1287"/>
      <c r="AB21" s="75"/>
      <c r="AC21" s="435"/>
      <c r="AD21" s="374"/>
      <c r="AE21" s="374"/>
      <c r="AF21" s="374"/>
      <c r="AG21" s="374"/>
      <c r="AH21" s="374"/>
      <c r="AI21" s="434"/>
      <c r="AJ21" s="1464"/>
      <c r="AK21" s="1465"/>
      <c r="AL21" s="1468">
        <f>IF(D20="","",J21/60*AJ21)</f>
        <v>0</v>
      </c>
      <c r="AM21" s="1469"/>
      <c r="AN21" s="1470"/>
      <c r="AO21" s="1469">
        <f>AL21*(G21-N14)/(AO25-N14)</f>
        <v>0</v>
      </c>
      <c r="AP21" s="1469"/>
      <c r="AQ21" s="1469"/>
      <c r="AR21" s="1471">
        <f>AL21*(G21-N14)/(AR25-N14)</f>
        <v>0</v>
      </c>
      <c r="AS21" s="1469"/>
      <c r="AT21" s="1472"/>
      <c r="AU21" s="1469">
        <f>AL21*(G21-N14)/(AU25-N14)</f>
        <v>0</v>
      </c>
      <c r="AV21" s="1469"/>
      <c r="AW21" s="1473"/>
      <c r="AX21" s="68"/>
      <c r="AY21" s="69"/>
      <c r="AZ21" s="1303"/>
      <c r="BA21" s="1304"/>
      <c r="BB21" s="1304"/>
      <c r="BC21" s="1304"/>
      <c r="BD21" s="1304"/>
      <c r="BE21" s="1304"/>
      <c r="BF21" s="1304"/>
      <c r="BG21" s="1304"/>
      <c r="BH21" s="1304"/>
      <c r="BI21" s="1304"/>
      <c r="BJ21" s="1304"/>
      <c r="BK21" s="1304"/>
      <c r="BL21" s="1304"/>
      <c r="BM21" s="1304"/>
      <c r="BN21" s="1304"/>
      <c r="BO21" s="1304"/>
      <c r="BP21" s="1304"/>
      <c r="BQ21" s="1304"/>
      <c r="BR21" s="1304"/>
      <c r="BS21" s="1304"/>
      <c r="BT21" s="1305"/>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row>
    <row r="22" spans="2:131" s="74" customFormat="1" ht="13.5" customHeight="1">
      <c r="B22" s="1259"/>
      <c r="C22" s="1260"/>
      <c r="D22" s="1323"/>
      <c r="E22" s="1324"/>
      <c r="F22" s="1324"/>
      <c r="G22" s="1324"/>
      <c r="H22" s="1324"/>
      <c r="I22" s="330"/>
      <c r="J22" s="330"/>
      <c r="K22" s="330"/>
      <c r="L22" s="330"/>
      <c r="M22" s="330"/>
      <c r="N22" s="330"/>
      <c r="O22" s="330"/>
      <c r="P22" s="331"/>
      <c r="Q22" s="332"/>
      <c r="R22" s="384"/>
      <c r="S22" s="332"/>
      <c r="T22" s="332"/>
      <c r="U22" s="332"/>
      <c r="V22" s="390"/>
      <c r="W22" s="332"/>
      <c r="X22" s="391"/>
      <c r="Y22" s="332"/>
      <c r="Z22" s="332"/>
      <c r="AA22" s="333"/>
      <c r="AB22" s="75"/>
      <c r="AC22" s="435"/>
      <c r="AD22" s="374"/>
      <c r="AE22" s="374"/>
      <c r="AF22" s="374"/>
      <c r="AG22" s="374"/>
      <c r="AH22" s="374"/>
      <c r="AI22" s="434"/>
      <c r="AJ22" s="623"/>
      <c r="AK22" s="624"/>
      <c r="AL22" s="617"/>
      <c r="AM22" s="618"/>
      <c r="AN22" s="619"/>
      <c r="AO22" s="618"/>
      <c r="AP22" s="618"/>
      <c r="AQ22" s="618"/>
      <c r="AR22" s="620"/>
      <c r="AS22" s="618"/>
      <c r="AT22" s="621"/>
      <c r="AU22" s="618"/>
      <c r="AV22" s="618"/>
      <c r="AW22" s="622"/>
      <c r="AX22" s="68"/>
      <c r="AY22" s="69"/>
      <c r="AZ22" s="426"/>
      <c r="BA22" s="72"/>
      <c r="BB22" s="72"/>
      <c r="BC22" s="72"/>
      <c r="BD22" s="72"/>
      <c r="BE22" s="72"/>
      <c r="BF22" s="72"/>
      <c r="BG22" s="72"/>
      <c r="BH22" s="72"/>
      <c r="BI22" s="72"/>
      <c r="BJ22" s="72"/>
      <c r="BK22" s="72"/>
      <c r="BL22" s="72"/>
      <c r="BM22" s="72"/>
      <c r="BN22" s="72"/>
      <c r="BO22" s="73"/>
      <c r="BP22" s="73"/>
      <c r="BQ22" s="73"/>
      <c r="BR22" s="73"/>
      <c r="BS22" s="73"/>
      <c r="BT22" s="427"/>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row>
    <row r="23" spans="2:131" s="74" customFormat="1" ht="13.5" customHeight="1" thickBot="1">
      <c r="B23" s="1259"/>
      <c r="C23" s="1260"/>
      <c r="D23" s="334"/>
      <c r="E23" s="330"/>
      <c r="F23" s="330"/>
      <c r="G23" s="1329"/>
      <c r="H23" s="1330"/>
      <c r="I23" s="335" t="s">
        <v>72</v>
      </c>
      <c r="J23" s="1331"/>
      <c r="K23" s="1332"/>
      <c r="L23" s="1333"/>
      <c r="M23" s="335" t="s">
        <v>72</v>
      </c>
      <c r="N23" s="1334"/>
      <c r="O23" s="1335"/>
      <c r="P23" s="1336">
        <f>IF(D22="",0,J23/60*N23)</f>
        <v>0</v>
      </c>
      <c r="Q23" s="1337"/>
      <c r="R23" s="1338"/>
      <c r="S23" s="1337">
        <f>P23*(G23-N14)/(S25-N14)</f>
        <v>0</v>
      </c>
      <c r="T23" s="1337"/>
      <c r="U23" s="1337"/>
      <c r="V23" s="1339">
        <f>P23*(G23-N14)/(V25-N14)</f>
        <v>0</v>
      </c>
      <c r="W23" s="1337"/>
      <c r="X23" s="1340"/>
      <c r="Y23" s="1337">
        <f>P23*(G23-N14)/(Y25-N14)</f>
        <v>0</v>
      </c>
      <c r="Z23" s="1337"/>
      <c r="AA23" s="1343"/>
      <c r="AB23" s="75"/>
      <c r="AC23" s="436"/>
      <c r="AD23" s="437"/>
      <c r="AE23" s="437"/>
      <c r="AF23" s="437"/>
      <c r="AG23" s="437"/>
      <c r="AH23" s="437"/>
      <c r="AI23" s="438"/>
      <c r="AJ23" s="1466"/>
      <c r="AK23" s="1467"/>
      <c r="AL23" s="1474">
        <f>IF(D22="",0,J23/60*AJ23)</f>
        <v>0</v>
      </c>
      <c r="AM23" s="1475"/>
      <c r="AN23" s="1476"/>
      <c r="AO23" s="1475">
        <f>AL23*(G23-N14)/(AO25-N14)</f>
        <v>0</v>
      </c>
      <c r="AP23" s="1475"/>
      <c r="AQ23" s="1475"/>
      <c r="AR23" s="1477">
        <f>AL23*(G23-N14)/(AR25-N14)</f>
        <v>0</v>
      </c>
      <c r="AS23" s="1475"/>
      <c r="AT23" s="1478"/>
      <c r="AU23" s="1475">
        <f>AL23*(G23-N14)/(AU25-N14)</f>
        <v>0</v>
      </c>
      <c r="AV23" s="1475"/>
      <c r="AW23" s="1479"/>
      <c r="AX23" s="68"/>
      <c r="AY23" s="69"/>
      <c r="AZ23" s="426"/>
      <c r="BA23" s="72"/>
      <c r="BB23" s="72"/>
      <c r="BC23" s="72"/>
      <c r="BD23" s="72"/>
      <c r="BE23" s="72"/>
      <c r="BF23" s="72"/>
      <c r="BG23" s="72"/>
      <c r="BH23" s="72"/>
      <c r="BI23" s="72"/>
      <c r="BJ23" s="72"/>
      <c r="BK23" s="72"/>
      <c r="BL23" s="72"/>
      <c r="BM23" s="72"/>
      <c r="BN23" s="72"/>
      <c r="BO23" s="73"/>
      <c r="BP23" s="73"/>
      <c r="BQ23" s="73"/>
      <c r="BR23" s="73"/>
      <c r="BS23" s="73"/>
      <c r="BT23" s="427"/>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row>
    <row r="24" spans="2:131" s="74" customFormat="1" ht="13.5" customHeight="1" thickTop="1">
      <c r="B24" s="1259"/>
      <c r="C24" s="1261"/>
      <c r="D24" s="1288" t="s">
        <v>47</v>
      </c>
      <c r="E24" s="1289"/>
      <c r="F24" s="1289"/>
      <c r="G24" s="1289"/>
      <c r="H24" s="1289"/>
      <c r="I24" s="1292">
        <f>P24*60</f>
        <v>0</v>
      </c>
      <c r="J24" s="1292"/>
      <c r="K24" s="1292"/>
      <c r="L24" s="1293"/>
      <c r="M24" s="1294">
        <f>N23+N21+N19+N17</f>
        <v>0</v>
      </c>
      <c r="N24" s="1294"/>
      <c r="O24" s="1295"/>
      <c r="P24" s="1298">
        <f>P17+P19+P21+P23</f>
        <v>0</v>
      </c>
      <c r="Q24" s="1298"/>
      <c r="R24" s="1299"/>
      <c r="S24" s="1302">
        <f>S17+S19+S21+S23</f>
        <v>0</v>
      </c>
      <c r="T24" s="1302"/>
      <c r="U24" s="1302"/>
      <c r="V24" s="1341">
        <f>V17+V19+V21+V23</f>
        <v>0</v>
      </c>
      <c r="W24" s="1302"/>
      <c r="X24" s="1342"/>
      <c r="Y24" s="1302">
        <f>Y17+Y19+Y21+Y23</f>
        <v>0</v>
      </c>
      <c r="Z24" s="1302"/>
      <c r="AA24" s="1346"/>
      <c r="AB24" s="420"/>
      <c r="AC24" s="1358" t="s">
        <v>47</v>
      </c>
      <c r="AD24" s="1358"/>
      <c r="AE24" s="1358"/>
      <c r="AF24" s="1292">
        <f>AL24*60</f>
        <v>0</v>
      </c>
      <c r="AG24" s="1292"/>
      <c r="AH24" s="1292"/>
      <c r="AI24" s="1360"/>
      <c r="AJ24" s="1361">
        <f>AJ23+AJ21+AJ19+AJ17</f>
        <v>0</v>
      </c>
      <c r="AK24" s="1362"/>
      <c r="AL24" s="1298">
        <f>AL17+AL19+AL21+AL23</f>
        <v>0</v>
      </c>
      <c r="AM24" s="1298"/>
      <c r="AN24" s="1299"/>
      <c r="AO24" s="1302">
        <f>AO17+AO19+AO21+AO23</f>
        <v>0</v>
      </c>
      <c r="AP24" s="1302"/>
      <c r="AQ24" s="1302"/>
      <c r="AR24" s="1341">
        <f>AR17+AR19+AR21+AR23</f>
        <v>0</v>
      </c>
      <c r="AS24" s="1302"/>
      <c r="AT24" s="1342"/>
      <c r="AU24" s="1302">
        <f>AU17+AU19+AU21+AU23</f>
        <v>0</v>
      </c>
      <c r="AV24" s="1302"/>
      <c r="AW24" s="1346"/>
      <c r="AX24" s="68"/>
      <c r="AY24" s="69"/>
      <c r="AZ24" s="426"/>
      <c r="BA24" s="72"/>
      <c r="BB24" s="72"/>
      <c r="BC24" s="72"/>
      <c r="BD24" s="72"/>
      <c r="BE24" s="72"/>
      <c r="BF24" s="72"/>
      <c r="BG24" s="72"/>
      <c r="BH24" s="72"/>
      <c r="BI24" s="72"/>
      <c r="BJ24" s="72"/>
      <c r="BK24" s="72"/>
      <c r="BL24" s="72"/>
      <c r="BM24" s="72"/>
      <c r="BN24" s="72"/>
      <c r="BO24" s="73"/>
      <c r="BP24" s="73"/>
      <c r="BQ24" s="73"/>
      <c r="BR24" s="73"/>
      <c r="BS24" s="73"/>
      <c r="BT24" s="427"/>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row>
    <row r="25" spans="2:131" s="74" customFormat="1" ht="13.5" customHeight="1">
      <c r="B25" s="77"/>
      <c r="C25" s="76"/>
      <c r="D25" s="1290"/>
      <c r="E25" s="1291"/>
      <c r="F25" s="1291"/>
      <c r="G25" s="1291"/>
      <c r="H25" s="1291"/>
      <c r="I25" s="1347">
        <f>IF(M24=0,0,(P17*G17+P19*G19+P21*G21+P23*G23)/P24)</f>
        <v>0</v>
      </c>
      <c r="J25" s="1347"/>
      <c r="K25" s="1347"/>
      <c r="L25" s="1348"/>
      <c r="M25" s="1296"/>
      <c r="N25" s="1296"/>
      <c r="O25" s="1297"/>
      <c r="P25" s="1300"/>
      <c r="Q25" s="1300"/>
      <c r="R25" s="1301"/>
      <c r="S25" s="1349">
        <f>'TWW-DIM'!Q18</f>
        <v>60</v>
      </c>
      <c r="T25" s="1350"/>
      <c r="U25" s="1350"/>
      <c r="V25" s="1351">
        <f>'TWW-DIM'!Q17</f>
        <v>42</v>
      </c>
      <c r="W25" s="1350"/>
      <c r="X25" s="1350"/>
      <c r="Y25" s="1351">
        <f>'TWW-DIM'!Q16</f>
        <v>38</v>
      </c>
      <c r="Z25" s="1350"/>
      <c r="AA25" s="1352"/>
      <c r="AB25" s="421"/>
      <c r="AC25" s="1359"/>
      <c r="AD25" s="1359"/>
      <c r="AE25" s="1359"/>
      <c r="AF25" s="1347" t="str">
        <f>IF(AJ24=0,"",(AL17*G17+AL19*G19+AL21*G21+AL23*G23)/AL24)</f>
        <v/>
      </c>
      <c r="AG25" s="1347"/>
      <c r="AH25" s="1347"/>
      <c r="AI25" s="1353"/>
      <c r="AJ25" s="1363"/>
      <c r="AK25" s="1364"/>
      <c r="AL25" s="1300"/>
      <c r="AM25" s="1300"/>
      <c r="AN25" s="1301"/>
      <c r="AO25" s="1354">
        <f>S25</f>
        <v>60</v>
      </c>
      <c r="AP25" s="1355"/>
      <c r="AQ25" s="1355"/>
      <c r="AR25" s="1356">
        <f>V25</f>
        <v>42</v>
      </c>
      <c r="AS25" s="1355"/>
      <c r="AT25" s="1355"/>
      <c r="AU25" s="1356">
        <f>Y25</f>
        <v>38</v>
      </c>
      <c r="AV25" s="1355"/>
      <c r="AW25" s="1357"/>
      <c r="AX25" s="68"/>
      <c r="AY25" s="69"/>
      <c r="AZ25" s="426"/>
      <c r="BA25" s="72"/>
      <c r="BB25" s="72"/>
      <c r="BC25" s="72"/>
      <c r="BD25" s="72"/>
      <c r="BE25" s="72"/>
      <c r="BF25" s="72"/>
      <c r="BG25" s="72"/>
      <c r="BH25" s="72"/>
      <c r="BI25" s="72"/>
      <c r="BJ25" s="72"/>
      <c r="BK25" s="72"/>
      <c r="BL25" s="72"/>
      <c r="BM25" s="72"/>
      <c r="BN25" s="72"/>
      <c r="BO25" s="73"/>
      <c r="BP25" s="73"/>
      <c r="BQ25" s="73"/>
      <c r="BR25" s="73"/>
      <c r="BS25" s="73"/>
      <c r="BT25" s="427"/>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row>
    <row r="26" spans="2:131" s="74" customFormat="1" ht="13.5" customHeight="1">
      <c r="AX26" s="68"/>
      <c r="AY26" s="69"/>
      <c r="AZ26" s="426"/>
      <c r="BA26" s="72"/>
      <c r="BB26" s="72"/>
      <c r="BC26" s="72"/>
      <c r="BD26" s="72"/>
      <c r="BE26" s="72"/>
      <c r="BF26" s="72"/>
      <c r="BG26" s="72"/>
      <c r="BH26" s="72"/>
      <c r="BI26" s="72"/>
      <c r="BJ26" s="72"/>
      <c r="BK26" s="72"/>
      <c r="BL26" s="72"/>
      <c r="BM26" s="72"/>
      <c r="BN26" s="72"/>
      <c r="BO26" s="73"/>
      <c r="BP26" s="73"/>
      <c r="BQ26" s="73"/>
      <c r="BR26" s="73"/>
      <c r="BS26" s="73"/>
      <c r="BT26" s="427"/>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row>
    <row r="27" spans="2:131" s="74" customFormat="1" ht="13.5" customHeight="1" thickBot="1">
      <c r="B27" s="1365" t="s">
        <v>55</v>
      </c>
      <c r="C27" s="410" t="s">
        <v>205</v>
      </c>
      <c r="D27" s="410"/>
      <c r="E27" s="410"/>
      <c r="F27" s="410"/>
      <c r="G27" s="410"/>
      <c r="H27" s="410"/>
      <c r="I27" s="410"/>
      <c r="J27" s="410"/>
      <c r="K27" s="410"/>
      <c r="L27" s="411"/>
      <c r="M27" s="411"/>
      <c r="N27" s="412"/>
      <c r="O27" s="413"/>
      <c r="P27" s="413"/>
      <c r="Q27" s="413"/>
      <c r="R27" s="413"/>
      <c r="S27" s="413"/>
      <c r="T27" s="413"/>
      <c r="U27" s="413"/>
      <c r="V27" s="413"/>
      <c r="W27" s="413"/>
      <c r="X27" s="413"/>
      <c r="Y27" s="413"/>
      <c r="Z27" s="413"/>
      <c r="AA27" s="413"/>
      <c r="AB27" s="1368" t="s">
        <v>204</v>
      </c>
      <c r="AC27" s="1369"/>
      <c r="AE27" s="381" t="s">
        <v>186</v>
      </c>
      <c r="AF27" s="98"/>
      <c r="AG27" s="98"/>
      <c r="AH27" s="98"/>
      <c r="AI27" s="98"/>
      <c r="AJ27" s="98"/>
      <c r="AK27" s="98"/>
      <c r="AL27" s="98"/>
      <c r="AM27" s="98"/>
      <c r="AN27" s="493"/>
      <c r="AO27" s="493"/>
      <c r="AP27" s="493"/>
      <c r="AQ27" s="493"/>
      <c r="AR27" s="493"/>
      <c r="AS27" s="493"/>
      <c r="AT27" s="493"/>
      <c r="AU27" s="493"/>
      <c r="AV27" s="493"/>
      <c r="AW27" s="494"/>
      <c r="AX27" s="68"/>
      <c r="AY27" s="69"/>
      <c r="AZ27" s="426"/>
      <c r="BA27" s="72"/>
      <c r="BB27" s="72"/>
      <c r="BC27" s="72"/>
      <c r="BD27" s="72"/>
      <c r="BE27" s="72"/>
      <c r="BF27" s="72"/>
      <c r="BG27" s="72"/>
      <c r="BH27" s="72"/>
      <c r="BI27" s="72"/>
      <c r="BJ27" s="72"/>
      <c r="BK27" s="72"/>
      <c r="BL27" s="72"/>
      <c r="BM27" s="72"/>
      <c r="BN27" s="72"/>
      <c r="BO27" s="73"/>
      <c r="BP27" s="73"/>
      <c r="BQ27" s="73"/>
      <c r="BR27" s="73"/>
      <c r="BS27" s="73"/>
      <c r="BT27" s="427"/>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row>
    <row r="28" spans="2:131" s="74" customFormat="1" ht="13.5" customHeight="1" thickBot="1">
      <c r="B28" s="1366"/>
      <c r="C28" s="84" t="str">
        <f>'TWW-DIM'!V16</f>
        <v>Hotel-Standard</v>
      </c>
      <c r="D28" s="84"/>
      <c r="E28" s="84"/>
      <c r="F28" s="84"/>
      <c r="G28" s="84"/>
      <c r="H28" s="84"/>
      <c r="I28" s="84"/>
      <c r="J28" s="84"/>
      <c r="K28" s="84"/>
      <c r="L28" s="83"/>
      <c r="M28" s="83"/>
      <c r="N28" s="1370" t="s">
        <v>71</v>
      </c>
      <c r="O28" s="1371"/>
      <c r="P28" s="1371"/>
      <c r="Q28" s="1371"/>
      <c r="R28" s="1371"/>
      <c r="S28" s="1372"/>
      <c r="T28" s="1490">
        <f>T31</f>
        <v>0</v>
      </c>
      <c r="U28" s="1488"/>
      <c r="V28" s="1491"/>
      <c r="W28" s="1487">
        <f>T28</f>
        <v>0</v>
      </c>
      <c r="X28" s="1488"/>
      <c r="Y28" s="1489"/>
      <c r="Z28" s="1492">
        <v>100</v>
      </c>
      <c r="AA28" s="1491"/>
      <c r="AB28" s="1379">
        <f>T28*4.1868*($I$25-$N$14)</f>
        <v>0</v>
      </c>
      <c r="AC28" s="1380"/>
      <c r="AE28" s="80"/>
      <c r="AF28" s="79"/>
      <c r="AG28" s="79"/>
      <c r="AH28" s="79"/>
      <c r="AI28" s="79"/>
      <c r="AJ28" s="79"/>
      <c r="AK28" s="79"/>
      <c r="AL28" s="79"/>
      <c r="AM28" s="495"/>
      <c r="AN28" s="495"/>
      <c r="AO28" s="495"/>
      <c r="AP28" s="495"/>
      <c r="AQ28" s="495"/>
      <c r="AR28" s="495"/>
      <c r="AS28" s="495"/>
      <c r="AT28" s="495"/>
      <c r="AU28" s="495"/>
      <c r="AV28" s="495"/>
      <c r="AW28" s="496"/>
      <c r="AX28" s="68"/>
      <c r="AY28" s="69"/>
      <c r="AZ28" s="426"/>
      <c r="BA28" s="72"/>
      <c r="BB28" s="72"/>
      <c r="BC28" s="72"/>
      <c r="BD28" s="72"/>
      <c r="BE28" s="72"/>
      <c r="BF28" s="72"/>
      <c r="BG28" s="72"/>
      <c r="BH28" s="72"/>
      <c r="BI28" s="72"/>
      <c r="BJ28" s="72"/>
      <c r="BK28" s="72"/>
      <c r="BL28" s="72"/>
      <c r="BM28" s="72"/>
      <c r="BN28" s="72"/>
      <c r="BO28" s="73"/>
      <c r="BP28" s="73"/>
      <c r="BQ28" s="73"/>
      <c r="BR28" s="73"/>
      <c r="BS28" s="73"/>
      <c r="BT28" s="427"/>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row>
    <row r="29" spans="2:131" s="74" customFormat="1" ht="13.5" customHeight="1" thickBot="1">
      <c r="B29" s="1452"/>
      <c r="C29" s="116" t="s">
        <v>70</v>
      </c>
      <c r="D29" s="82"/>
      <c r="E29" s="82"/>
      <c r="F29" s="82"/>
      <c r="G29" s="82"/>
      <c r="H29" s="82"/>
      <c r="I29" s="82"/>
      <c r="J29" s="82"/>
      <c r="K29" s="82"/>
      <c r="L29" s="82"/>
      <c r="M29" s="82"/>
      <c r="N29" s="1381" t="s">
        <v>69</v>
      </c>
      <c r="O29" s="1382"/>
      <c r="P29" s="1381" t="s">
        <v>68</v>
      </c>
      <c r="Q29" s="1383"/>
      <c r="R29" s="1382" t="s">
        <v>67</v>
      </c>
      <c r="S29" s="1384"/>
      <c r="T29" s="1385" t="s">
        <v>200</v>
      </c>
      <c r="U29" s="1386"/>
      <c r="V29" s="1387"/>
      <c r="W29" s="1388" t="s">
        <v>201</v>
      </c>
      <c r="X29" s="1389"/>
      <c r="Y29" s="1390"/>
      <c r="Z29" s="1391" t="s">
        <v>199</v>
      </c>
      <c r="AA29" s="1392"/>
      <c r="AB29" s="1393" t="s">
        <v>10</v>
      </c>
      <c r="AC29" s="1394"/>
      <c r="AE29" s="80"/>
      <c r="AF29" s="79"/>
      <c r="AG29" s="79"/>
      <c r="AH29" s="79"/>
      <c r="AI29" s="79"/>
      <c r="AJ29" s="79"/>
      <c r="AK29" s="79"/>
      <c r="AL29" s="79"/>
      <c r="AM29" s="495"/>
      <c r="AN29" s="495"/>
      <c r="AO29" s="495"/>
      <c r="AP29" s="495"/>
      <c r="AQ29" s="495"/>
      <c r="AR29" s="495"/>
      <c r="AS29" s="495"/>
      <c r="AT29" s="495"/>
      <c r="AU29" s="495"/>
      <c r="AV29" s="495"/>
      <c r="AW29" s="496"/>
      <c r="AX29" s="68"/>
      <c r="AY29" s="69"/>
      <c r="AZ29" s="426"/>
      <c r="BA29" s="72"/>
      <c r="BB29" s="72"/>
      <c r="BC29" s="72"/>
      <c r="BD29" s="72"/>
      <c r="BE29" s="72"/>
      <c r="BF29" s="72"/>
      <c r="BG29" s="72"/>
      <c r="BH29" s="72"/>
      <c r="BI29" s="72"/>
      <c r="BJ29" s="72"/>
      <c r="BK29" s="72"/>
      <c r="BL29" s="72"/>
      <c r="BM29" s="72"/>
      <c r="BN29" s="72"/>
      <c r="BO29" s="73"/>
      <c r="BP29" s="73"/>
      <c r="BQ29" s="73"/>
      <c r="BR29" s="73"/>
      <c r="BS29" s="73"/>
      <c r="BT29" s="427"/>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row>
    <row r="30" spans="2:131" s="74" customFormat="1" ht="13.5" customHeight="1" thickTop="1">
      <c r="B30" s="490" t="str">
        <f>IF($C$28=C30,"X","")</f>
        <v/>
      </c>
      <c r="C30" s="76" t="str">
        <f>'TWW-DIM'!BO7</f>
        <v>eigene Auswahl</v>
      </c>
      <c r="D30" s="76"/>
      <c r="E30" s="76"/>
      <c r="F30" s="76"/>
      <c r="G30" s="76"/>
      <c r="H30" s="76"/>
      <c r="I30" s="76"/>
      <c r="J30" s="76"/>
      <c r="K30" s="76"/>
      <c r="L30" s="76"/>
      <c r="M30" s="76"/>
      <c r="N30" s="1480"/>
      <c r="O30" s="1481"/>
      <c r="P30" s="1480"/>
      <c r="Q30" s="1482"/>
      <c r="R30" s="1481"/>
      <c r="S30" s="1483"/>
      <c r="T30" s="1459">
        <f>IF(AL24&gt;0,AL24,0)</f>
        <v>0</v>
      </c>
      <c r="U30" s="1460"/>
      <c r="V30" s="1461"/>
      <c r="W30" s="1484">
        <f>T30*Z30/100</f>
        <v>0</v>
      </c>
      <c r="X30" s="1485"/>
      <c r="Y30" s="1486"/>
      <c r="Z30" s="1448">
        <f>IF(T28=0,0,T30/T28*100)</f>
        <v>0</v>
      </c>
      <c r="AA30" s="1449"/>
      <c r="AB30" s="1462">
        <f>IF(T30=0,0,T30*4.1868*($AF$25-$N$14))</f>
        <v>0</v>
      </c>
      <c r="AC30" s="1463"/>
      <c r="AE30" s="80"/>
      <c r="AF30" s="79"/>
      <c r="AG30" s="79"/>
      <c r="AH30" s="79"/>
      <c r="AI30" s="79"/>
      <c r="AJ30" s="79"/>
      <c r="AK30" s="79"/>
      <c r="AL30" s="79"/>
      <c r="AM30" s="495"/>
      <c r="AN30" s="495"/>
      <c r="AO30" s="495"/>
      <c r="AP30" s="495"/>
      <c r="AQ30" s="495"/>
      <c r="AR30" s="495"/>
      <c r="AS30" s="495"/>
      <c r="AT30" s="495"/>
      <c r="AU30" s="495"/>
      <c r="AV30" s="495"/>
      <c r="AW30" s="496"/>
      <c r="AX30" s="68"/>
      <c r="AY30" s="69"/>
      <c r="AZ30" s="426"/>
      <c r="BA30" s="72"/>
      <c r="BB30" s="72"/>
      <c r="BC30" s="72"/>
      <c r="BD30" s="72"/>
      <c r="BE30" s="72"/>
      <c r="BF30" s="72"/>
      <c r="BG30" s="72"/>
      <c r="BH30" s="72"/>
      <c r="BI30" s="72"/>
      <c r="BJ30" s="72"/>
      <c r="BK30" s="72"/>
      <c r="BL30" s="72"/>
      <c r="BM30" s="72"/>
      <c r="BN30" s="72"/>
      <c r="BO30" s="73"/>
      <c r="BP30" s="73"/>
      <c r="BQ30" s="73"/>
      <c r="BR30" s="73"/>
      <c r="BS30" s="73"/>
      <c r="BT30" s="427"/>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row>
    <row r="31" spans="2:131" s="74" customFormat="1" ht="13.5" customHeight="1">
      <c r="B31" s="491" t="str">
        <f t="shared" ref="B31:B37" si="0">IF($C$28=C31,"X","")</f>
        <v/>
      </c>
      <c r="C31" s="79" t="str">
        <f>'TWW-DIM'!BO8</f>
        <v>Wohngebäude</v>
      </c>
      <c r="D31" s="79"/>
      <c r="E31" s="79"/>
      <c r="F31" s="79"/>
      <c r="G31" s="79"/>
      <c r="H31" s="79"/>
      <c r="I31" s="79"/>
      <c r="J31" s="79"/>
      <c r="K31" s="79"/>
      <c r="L31" s="79"/>
      <c r="M31" s="79"/>
      <c r="N31" s="1409">
        <v>1.48</v>
      </c>
      <c r="O31" s="1410"/>
      <c r="P31" s="1409">
        <v>0.19</v>
      </c>
      <c r="Q31" s="1411"/>
      <c r="R31" s="1410">
        <v>0.94</v>
      </c>
      <c r="S31" s="1412"/>
      <c r="T31" s="1413">
        <f>P24</f>
        <v>0</v>
      </c>
      <c r="U31" s="1414"/>
      <c r="V31" s="1415"/>
      <c r="W31" s="1419">
        <f>N31*(T31^P31)-R31</f>
        <v>-0.94</v>
      </c>
      <c r="X31" s="1420"/>
      <c r="Y31" s="1421"/>
      <c r="Z31" s="1422">
        <f>IF(T31=0,0,(W31/$T$31)*100)</f>
        <v>0</v>
      </c>
      <c r="AA31" s="1423"/>
      <c r="AB31" s="1424">
        <f t="shared" ref="AB31:AB37" si="1">W31*4.1868*($I$25-$N$14)</f>
        <v>39.355919999999998</v>
      </c>
      <c r="AC31" s="1425"/>
      <c r="AE31" s="80"/>
      <c r="AF31" s="79"/>
      <c r="AG31" s="79"/>
      <c r="AH31" s="79"/>
      <c r="AI31" s="79"/>
      <c r="AJ31" s="79"/>
      <c r="AK31" s="79"/>
      <c r="AL31" s="79"/>
      <c r="AM31" s="495"/>
      <c r="AN31" s="495"/>
      <c r="AO31" s="495"/>
      <c r="AP31" s="495"/>
      <c r="AQ31" s="495"/>
      <c r="AR31" s="495"/>
      <c r="AS31" s="495"/>
      <c r="AT31" s="495"/>
      <c r="AU31" s="495"/>
      <c r="AV31" s="495"/>
      <c r="AW31" s="496"/>
      <c r="AX31" s="68"/>
      <c r="AY31" s="69"/>
      <c r="AZ31" s="426"/>
      <c r="BA31" s="72"/>
      <c r="BB31" s="72"/>
      <c r="BC31" s="72"/>
      <c r="BD31" s="72"/>
      <c r="BE31" s="72"/>
      <c r="BF31" s="72"/>
      <c r="BG31" s="72"/>
      <c r="BH31" s="72"/>
      <c r="BI31" s="72"/>
      <c r="BJ31" s="72"/>
      <c r="BK31" s="72"/>
      <c r="BL31" s="72"/>
      <c r="BM31" s="72"/>
      <c r="BN31" s="72"/>
      <c r="BO31" s="73"/>
      <c r="BP31" s="73"/>
      <c r="BQ31" s="73"/>
      <c r="BR31" s="73"/>
      <c r="BS31" s="73"/>
      <c r="BT31" s="427"/>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row>
    <row r="32" spans="2:131" s="74" customFormat="1" ht="13.5" customHeight="1">
      <c r="B32" s="414" t="str">
        <f t="shared" si="0"/>
        <v/>
      </c>
      <c r="C32" s="336" t="str">
        <f>'TWW-DIM'!BO9</f>
        <v>Bettenhaus im Krankenhaus</v>
      </c>
      <c r="D32" s="81"/>
      <c r="E32" s="81"/>
      <c r="F32" s="81"/>
      <c r="G32" s="81"/>
      <c r="H32" s="81"/>
      <c r="I32" s="81"/>
      <c r="J32" s="81"/>
      <c r="K32" s="81"/>
      <c r="L32" s="81"/>
      <c r="M32" s="81"/>
      <c r="N32" s="1426">
        <v>0.75</v>
      </c>
      <c r="O32" s="1427"/>
      <c r="P32" s="1426">
        <v>0.44</v>
      </c>
      <c r="Q32" s="1428"/>
      <c r="R32" s="1427">
        <v>0.18</v>
      </c>
      <c r="S32" s="1429"/>
      <c r="T32" s="1413"/>
      <c r="U32" s="1414"/>
      <c r="V32" s="1415"/>
      <c r="W32" s="1430">
        <f>N32*(T31^P32)-R32</f>
        <v>-0.18</v>
      </c>
      <c r="X32" s="1431"/>
      <c r="Y32" s="1432"/>
      <c r="Z32" s="1433">
        <f>IF(T31=0,0,(W32/$T$31)*100)</f>
        <v>0</v>
      </c>
      <c r="AA32" s="1434"/>
      <c r="AB32" s="1435">
        <f t="shared" si="1"/>
        <v>7.5362399999999994</v>
      </c>
      <c r="AC32" s="1436"/>
      <c r="AE32" s="80"/>
      <c r="AF32" s="79"/>
      <c r="AG32" s="79"/>
      <c r="AH32" s="79"/>
      <c r="AI32" s="79"/>
      <c r="AJ32" s="79"/>
      <c r="AK32" s="79"/>
      <c r="AL32" s="79"/>
      <c r="AM32" s="495"/>
      <c r="AN32" s="495"/>
      <c r="AO32" s="495"/>
      <c r="AP32" s="495"/>
      <c r="AQ32" s="495"/>
      <c r="AR32" s="495"/>
      <c r="AS32" s="495"/>
      <c r="AT32" s="495"/>
      <c r="AU32" s="495"/>
      <c r="AV32" s="495"/>
      <c r="AW32" s="496"/>
      <c r="AX32" s="68"/>
      <c r="AY32" s="69"/>
      <c r="AZ32" s="426"/>
      <c r="BA32" s="72"/>
      <c r="BB32" s="72"/>
      <c r="BC32" s="72"/>
      <c r="BD32" s="72"/>
      <c r="BE32" s="72"/>
      <c r="BF32" s="72"/>
      <c r="BG32" s="72"/>
      <c r="BH32" s="72"/>
      <c r="BI32" s="72"/>
      <c r="BJ32" s="72"/>
      <c r="BK32" s="72"/>
      <c r="BL32" s="72"/>
      <c r="BM32" s="72"/>
      <c r="BN32" s="72"/>
      <c r="BO32" s="73"/>
      <c r="BP32" s="73"/>
      <c r="BQ32" s="73"/>
      <c r="BR32" s="73"/>
      <c r="BS32" s="73"/>
      <c r="BT32" s="427"/>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row>
    <row r="33" spans="1:131" s="74" customFormat="1" ht="13.5" customHeight="1">
      <c r="B33" s="414" t="str">
        <f>IF($C$28=C33,"X","")</f>
        <v>X</v>
      </c>
      <c r="C33" s="336" t="str">
        <f>'TWW-DIM'!BO10</f>
        <v>Hotel-Standard</v>
      </c>
      <c r="D33" s="81"/>
      <c r="E33" s="81"/>
      <c r="F33" s="81"/>
      <c r="G33" s="81"/>
      <c r="H33" s="81"/>
      <c r="I33" s="81"/>
      <c r="J33" s="81"/>
      <c r="K33" s="81"/>
      <c r="L33" s="81"/>
      <c r="M33" s="81"/>
      <c r="N33" s="1426">
        <v>0.7</v>
      </c>
      <c r="O33" s="1427"/>
      <c r="P33" s="1426">
        <v>0.48</v>
      </c>
      <c r="Q33" s="1428"/>
      <c r="R33" s="1427">
        <v>0.13</v>
      </c>
      <c r="S33" s="1429"/>
      <c r="T33" s="1413"/>
      <c r="U33" s="1414"/>
      <c r="V33" s="1415"/>
      <c r="W33" s="1430">
        <f>N33*(T31^P33)-R33</f>
        <v>-0.13</v>
      </c>
      <c r="X33" s="1431"/>
      <c r="Y33" s="1432"/>
      <c r="Z33" s="1433">
        <f>IF(T31=0,0,(W33/$T$31)*100)</f>
        <v>0</v>
      </c>
      <c r="AA33" s="1434"/>
      <c r="AB33" s="1435">
        <f>W33*4.1868*($I$25-$N$14)</f>
        <v>5.4428400000000003</v>
      </c>
      <c r="AC33" s="1436"/>
      <c r="AE33" s="80"/>
      <c r="AF33" s="79"/>
      <c r="AG33" s="79"/>
      <c r="AH33" s="79"/>
      <c r="AI33" s="79"/>
      <c r="AJ33" s="79"/>
      <c r="AK33" s="79"/>
      <c r="AL33" s="79"/>
      <c r="AM33" s="495"/>
      <c r="AN33" s="495"/>
      <c r="AO33" s="495"/>
      <c r="AP33" s="495"/>
      <c r="AQ33" s="495"/>
      <c r="AR33" s="495"/>
      <c r="AS33" s="495"/>
      <c r="AT33" s="495"/>
      <c r="AU33" s="495"/>
      <c r="AV33" s="495"/>
      <c r="AW33" s="496"/>
      <c r="AX33" s="68"/>
      <c r="AY33" s="69"/>
      <c r="AZ33" s="426"/>
      <c r="BA33" s="72"/>
      <c r="BB33" s="72"/>
      <c r="BC33" s="72"/>
      <c r="BD33" s="72"/>
      <c r="BE33" s="72"/>
      <c r="BF33" s="72"/>
      <c r="BG33" s="72"/>
      <c r="BH33" s="72"/>
      <c r="BI33" s="72"/>
      <c r="BJ33" s="72"/>
      <c r="BK33" s="72"/>
      <c r="BL33" s="72"/>
      <c r="BM33" s="72"/>
      <c r="BN33" s="72"/>
      <c r="BO33" s="73"/>
      <c r="BP33" s="73"/>
      <c r="BQ33" s="73"/>
      <c r="BR33" s="73"/>
      <c r="BS33" s="73"/>
      <c r="BT33" s="427"/>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row>
    <row r="34" spans="1:131" s="74" customFormat="1" ht="13.5" customHeight="1">
      <c r="B34" s="414" t="str">
        <f t="shared" si="0"/>
        <v/>
      </c>
      <c r="C34" s="336" t="str">
        <f>'TWW-DIM'!BO11</f>
        <v>Schule-Standard</v>
      </c>
      <c r="D34" s="81"/>
      <c r="E34" s="81"/>
      <c r="F34" s="81"/>
      <c r="G34" s="81"/>
      <c r="H34" s="81"/>
      <c r="I34" s="81"/>
      <c r="J34" s="81"/>
      <c r="K34" s="81"/>
      <c r="L34" s="81"/>
      <c r="M34" s="81"/>
      <c r="N34" s="1426">
        <v>0.91</v>
      </c>
      <c r="O34" s="1427"/>
      <c r="P34" s="1426">
        <v>0.31</v>
      </c>
      <c r="Q34" s="1428"/>
      <c r="R34" s="1427">
        <v>0.38</v>
      </c>
      <c r="S34" s="1429"/>
      <c r="T34" s="1413"/>
      <c r="U34" s="1414"/>
      <c r="V34" s="1415"/>
      <c r="W34" s="1430">
        <f>N34*(T31^P34)-R34</f>
        <v>-0.38</v>
      </c>
      <c r="X34" s="1431"/>
      <c r="Y34" s="1432"/>
      <c r="Z34" s="1433">
        <f>IF(T31=0,0,(W34/$T$31)*100)</f>
        <v>0</v>
      </c>
      <c r="AA34" s="1434"/>
      <c r="AB34" s="1435">
        <f t="shared" si="1"/>
        <v>15.909839999999999</v>
      </c>
      <c r="AC34" s="1436"/>
      <c r="AE34" s="80"/>
      <c r="AF34" s="79"/>
      <c r="AG34" s="79"/>
      <c r="AH34" s="79"/>
      <c r="AI34" s="79"/>
      <c r="AJ34" s="79"/>
      <c r="AK34" s="79"/>
      <c r="AL34" s="79"/>
      <c r="AM34" s="495"/>
      <c r="AN34" s="495"/>
      <c r="AO34" s="495"/>
      <c r="AP34" s="495"/>
      <c r="AQ34" s="495"/>
      <c r="AR34" s="495"/>
      <c r="AS34" s="495"/>
      <c r="AT34" s="495"/>
      <c r="AU34" s="495"/>
      <c r="AV34" s="495"/>
      <c r="AW34" s="496"/>
      <c r="AX34" s="68"/>
      <c r="AY34" s="69"/>
      <c r="AZ34" s="426"/>
      <c r="BA34" s="72"/>
      <c r="BB34" s="72"/>
      <c r="BC34" s="72"/>
      <c r="BD34" s="72"/>
      <c r="BE34" s="72"/>
      <c r="BF34" s="72"/>
      <c r="BG34" s="72"/>
      <c r="BH34" s="72"/>
      <c r="BI34" s="72"/>
      <c r="BJ34" s="72"/>
      <c r="BK34" s="72"/>
      <c r="BL34" s="72"/>
      <c r="BM34" s="72"/>
      <c r="BN34" s="72"/>
      <c r="BO34" s="73"/>
      <c r="BP34" s="73"/>
      <c r="BQ34" s="73"/>
      <c r="BR34" s="73"/>
      <c r="BS34" s="73"/>
      <c r="BT34" s="427"/>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row>
    <row r="35" spans="1:131" s="74" customFormat="1" ht="13.5" customHeight="1">
      <c r="B35" s="414" t="str">
        <f t="shared" si="0"/>
        <v/>
      </c>
      <c r="C35" s="336" t="str">
        <f>'TWW-DIM'!BO12</f>
        <v>Verwaltungsgebäude</v>
      </c>
      <c r="D35" s="81"/>
      <c r="E35" s="81"/>
      <c r="F35" s="81"/>
      <c r="G35" s="81"/>
      <c r="H35" s="81"/>
      <c r="I35" s="81"/>
      <c r="J35" s="81"/>
      <c r="K35" s="81"/>
      <c r="L35" s="81"/>
      <c r="M35" s="81"/>
      <c r="N35" s="1426">
        <v>0.91</v>
      </c>
      <c r="O35" s="1427"/>
      <c r="P35" s="1426">
        <v>0.31</v>
      </c>
      <c r="Q35" s="1428"/>
      <c r="R35" s="1427">
        <v>0.38</v>
      </c>
      <c r="S35" s="1429"/>
      <c r="T35" s="1413"/>
      <c r="U35" s="1414"/>
      <c r="V35" s="1415"/>
      <c r="W35" s="1430">
        <f>N35*T31^P35-R35</f>
        <v>-0.38</v>
      </c>
      <c r="X35" s="1431"/>
      <c r="Y35" s="1432"/>
      <c r="Z35" s="1433">
        <f>IF(T31=0,0,(W35/$T$31)*100)</f>
        <v>0</v>
      </c>
      <c r="AA35" s="1434"/>
      <c r="AB35" s="1435">
        <f t="shared" si="1"/>
        <v>15.909839999999999</v>
      </c>
      <c r="AC35" s="1436"/>
      <c r="AE35" s="80"/>
      <c r="AF35" s="79"/>
      <c r="AG35" s="79"/>
      <c r="AH35" s="79"/>
      <c r="AI35" s="79"/>
      <c r="AJ35" s="79"/>
      <c r="AK35" s="79"/>
      <c r="AL35" s="326"/>
      <c r="AM35" s="495"/>
      <c r="AN35" s="495"/>
      <c r="AO35" s="495"/>
      <c r="AP35" s="495"/>
      <c r="AQ35" s="495"/>
      <c r="AR35" s="495"/>
      <c r="AS35" s="495"/>
      <c r="AT35" s="495"/>
      <c r="AU35" s="495"/>
      <c r="AV35" s="495"/>
      <c r="AW35" s="496"/>
      <c r="AX35" s="68"/>
      <c r="AY35" s="69"/>
      <c r="AZ35" s="426"/>
      <c r="BA35" s="72"/>
      <c r="BB35" s="72"/>
      <c r="BC35" s="72"/>
      <c r="BD35" s="72"/>
      <c r="BE35" s="72"/>
      <c r="BF35" s="72"/>
      <c r="BG35" s="72"/>
      <c r="BH35" s="72"/>
      <c r="BI35" s="72"/>
      <c r="BJ35" s="72"/>
      <c r="BK35" s="72"/>
      <c r="BL35" s="72"/>
      <c r="BM35" s="72"/>
      <c r="BN35" s="72"/>
      <c r="BO35" s="73"/>
      <c r="BP35" s="73"/>
      <c r="BQ35" s="73"/>
      <c r="BR35" s="73"/>
      <c r="BS35" s="73"/>
      <c r="BT35" s="427"/>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row>
    <row r="36" spans="1:131" s="74" customFormat="1" ht="13.5" customHeight="1">
      <c r="B36" s="414" t="str">
        <f t="shared" si="0"/>
        <v/>
      </c>
      <c r="C36" s="336" t="str">
        <f>'TWW-DIM'!BO13</f>
        <v>Pflegeheim</v>
      </c>
      <c r="D36" s="81"/>
      <c r="E36" s="81"/>
      <c r="F36" s="81"/>
      <c r="G36" s="81"/>
      <c r="H36" s="81"/>
      <c r="I36" s="81"/>
      <c r="J36" s="81"/>
      <c r="K36" s="81"/>
      <c r="L36" s="81"/>
      <c r="M36" s="81"/>
      <c r="N36" s="1426">
        <v>1.48</v>
      </c>
      <c r="O36" s="1427"/>
      <c r="P36" s="1426">
        <v>0.19</v>
      </c>
      <c r="Q36" s="1428"/>
      <c r="R36" s="1427">
        <v>0.94</v>
      </c>
      <c r="S36" s="1429"/>
      <c r="T36" s="1413"/>
      <c r="U36" s="1414"/>
      <c r="V36" s="1415"/>
      <c r="W36" s="1430">
        <f>N36*T31^P36-R36</f>
        <v>-0.94</v>
      </c>
      <c r="X36" s="1431"/>
      <c r="Y36" s="1432"/>
      <c r="Z36" s="1433">
        <f>IF(T31=0,0,(W36/$T$31)*100)</f>
        <v>0</v>
      </c>
      <c r="AA36" s="1434"/>
      <c r="AB36" s="1435">
        <f t="shared" si="1"/>
        <v>39.355919999999998</v>
      </c>
      <c r="AC36" s="1436"/>
      <c r="AE36" s="80"/>
      <c r="AF36" s="79"/>
      <c r="AG36" s="79"/>
      <c r="AH36" s="79"/>
      <c r="AI36" s="79"/>
      <c r="AJ36" s="79"/>
      <c r="AK36" s="79"/>
      <c r="AL36" s="326"/>
      <c r="AM36" s="495"/>
      <c r="AN36" s="495"/>
      <c r="AO36" s="495"/>
      <c r="AP36" s="495"/>
      <c r="AQ36" s="495"/>
      <c r="AR36" s="495"/>
      <c r="AS36" s="495"/>
      <c r="AT36" s="495"/>
      <c r="AU36" s="495"/>
      <c r="AV36" s="495"/>
      <c r="AW36" s="496"/>
      <c r="AX36" s="68"/>
      <c r="AY36" s="69"/>
      <c r="AZ36" s="426"/>
      <c r="BA36" s="72"/>
      <c r="BB36" s="72"/>
      <c r="BC36" s="72"/>
      <c r="BD36" s="72"/>
      <c r="BE36" s="72"/>
      <c r="BF36" s="72"/>
      <c r="BG36" s="72"/>
      <c r="BH36" s="72"/>
      <c r="BI36" s="72"/>
      <c r="BJ36" s="72"/>
      <c r="BK36" s="72"/>
      <c r="BL36" s="72"/>
      <c r="BM36" s="72"/>
      <c r="BN36" s="72"/>
      <c r="BO36" s="73"/>
      <c r="BP36" s="73"/>
      <c r="BQ36" s="73"/>
      <c r="BR36" s="73"/>
      <c r="BS36" s="73"/>
      <c r="BT36" s="427"/>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row>
    <row r="37" spans="1:131" s="74" customFormat="1" ht="13.5" customHeight="1">
      <c r="B37" s="492" t="str">
        <f t="shared" si="0"/>
        <v/>
      </c>
      <c r="C37" s="415" t="str">
        <f>'TWW-DIM'!BO14</f>
        <v>Ausgewählte Entnahmestellen</v>
      </c>
      <c r="D37" s="76"/>
      <c r="E37" s="76"/>
      <c r="F37" s="76"/>
      <c r="G37" s="76"/>
      <c r="H37" s="76"/>
      <c r="I37" s="76"/>
      <c r="J37" s="76"/>
      <c r="K37" s="76"/>
      <c r="L37" s="76"/>
      <c r="M37" s="76"/>
      <c r="N37" s="1441">
        <v>1.4</v>
      </c>
      <c r="O37" s="1442"/>
      <c r="P37" s="1441">
        <v>0.14000000000000001</v>
      </c>
      <c r="Q37" s="1443"/>
      <c r="R37" s="1442">
        <v>0.92</v>
      </c>
      <c r="S37" s="1444"/>
      <c r="T37" s="1416"/>
      <c r="U37" s="1417"/>
      <c r="V37" s="1418"/>
      <c r="W37" s="1445">
        <f>N37*T31^P37-R37</f>
        <v>-0.92</v>
      </c>
      <c r="X37" s="1446"/>
      <c r="Y37" s="1447"/>
      <c r="Z37" s="1448">
        <f>IF(T31=0,0,(W37/$T$31)*100)</f>
        <v>0</v>
      </c>
      <c r="AA37" s="1449"/>
      <c r="AB37" s="1450">
        <f t="shared" si="1"/>
        <v>38.518560000000001</v>
      </c>
      <c r="AC37" s="1451"/>
      <c r="AE37" s="80"/>
      <c r="AF37" s="79"/>
      <c r="AG37" s="79"/>
      <c r="AH37" s="79"/>
      <c r="AI37" s="79"/>
      <c r="AJ37" s="79"/>
      <c r="AK37" s="79"/>
      <c r="AL37" s="326"/>
      <c r="AM37" s="326"/>
      <c r="AN37" s="326"/>
      <c r="AO37" s="326"/>
      <c r="AP37" s="326"/>
      <c r="AQ37" s="326"/>
      <c r="AR37" s="326"/>
      <c r="AS37" s="326"/>
      <c r="AT37" s="326"/>
      <c r="AU37" s="326"/>
      <c r="AV37" s="326"/>
      <c r="AW37" s="327"/>
      <c r="AX37" s="68"/>
      <c r="AY37" s="69"/>
      <c r="AZ37" s="426"/>
      <c r="BA37" s="72"/>
      <c r="BB37" s="72"/>
      <c r="BC37" s="72"/>
      <c r="BD37" s="72"/>
      <c r="BE37" s="72"/>
      <c r="BF37" s="72"/>
      <c r="BG37" s="72"/>
      <c r="BH37" s="72"/>
      <c r="BI37" s="72"/>
      <c r="BJ37" s="72"/>
      <c r="BK37" s="72"/>
      <c r="BL37" s="72"/>
      <c r="BM37" s="72"/>
      <c r="BN37" s="72"/>
      <c r="BO37" s="73"/>
      <c r="BP37" s="73"/>
      <c r="BQ37" s="73"/>
      <c r="BR37" s="73"/>
      <c r="BS37" s="73"/>
      <c r="BT37" s="427"/>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row>
    <row r="38" spans="1:131" s="74" customFormat="1" ht="13.5" customHeight="1">
      <c r="B38" s="1437" t="s">
        <v>61</v>
      </c>
      <c r="C38" s="1438"/>
      <c r="D38" s="1438"/>
      <c r="E38" s="1438"/>
      <c r="F38" s="1438"/>
      <c r="G38" s="1438"/>
      <c r="H38" s="1438"/>
      <c r="I38" s="1438"/>
      <c r="J38" s="1438"/>
      <c r="K38" s="1438"/>
      <c r="L38" s="1438"/>
      <c r="M38" s="1438"/>
      <c r="N38" s="1438"/>
      <c r="O38" s="1438"/>
      <c r="P38" s="1438"/>
      <c r="Q38" s="1438"/>
      <c r="R38" s="1438"/>
      <c r="S38" s="1438"/>
      <c r="T38" s="1438"/>
      <c r="U38" s="1438"/>
      <c r="V38" s="1438"/>
      <c r="W38" s="1438"/>
      <c r="X38" s="1438"/>
      <c r="Y38" s="1438"/>
      <c r="Z38" s="1438"/>
      <c r="AA38" s="1438"/>
      <c r="AB38" s="1438"/>
      <c r="AC38" s="1438"/>
      <c r="AD38" s="79"/>
      <c r="AE38" s="80"/>
      <c r="AF38" s="79"/>
      <c r="AG38" s="79"/>
      <c r="AH38" s="79"/>
      <c r="AI38" s="79"/>
      <c r="AJ38" s="79"/>
      <c r="AK38" s="79"/>
      <c r="AL38" s="326"/>
      <c r="AM38" s="326"/>
      <c r="AN38" s="326"/>
      <c r="AO38" s="326"/>
      <c r="AP38" s="326"/>
      <c r="AQ38" s="326"/>
      <c r="AR38" s="326"/>
      <c r="AS38" s="326"/>
      <c r="AT38" s="326"/>
      <c r="AU38" s="326"/>
      <c r="AV38" s="326"/>
      <c r="AW38" s="327"/>
      <c r="AX38" s="68"/>
      <c r="AY38" s="69"/>
      <c r="AZ38" s="426"/>
      <c r="BA38" s="72"/>
      <c r="BB38" s="72"/>
      <c r="BC38" s="72"/>
      <c r="BD38" s="72"/>
      <c r="BE38" s="72"/>
      <c r="BF38" s="72"/>
      <c r="BG38" s="72"/>
      <c r="BH38" s="72"/>
      <c r="BI38" s="72"/>
      <c r="BJ38" s="72"/>
      <c r="BK38" s="72"/>
      <c r="BL38" s="72"/>
      <c r="BM38" s="72"/>
      <c r="BN38" s="72"/>
      <c r="BO38" s="73"/>
      <c r="BP38" s="73"/>
      <c r="BQ38" s="73"/>
      <c r="BR38" s="73"/>
      <c r="BS38" s="73"/>
      <c r="BT38" s="427"/>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row>
    <row r="39" spans="1:131" s="74" customFormat="1" ht="13.5" customHeight="1">
      <c r="B39" s="1439"/>
      <c r="C39" s="1440"/>
      <c r="D39" s="1440"/>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1440"/>
      <c r="AA39" s="1440"/>
      <c r="AB39" s="1440"/>
      <c r="AC39" s="1440"/>
      <c r="AD39" s="76"/>
      <c r="AE39" s="77"/>
      <c r="AF39" s="76"/>
      <c r="AG39" s="76"/>
      <c r="AH39" s="76"/>
      <c r="AI39" s="76"/>
      <c r="AJ39" s="76"/>
      <c r="AK39" s="76"/>
      <c r="AL39" s="328"/>
      <c r="AM39" s="328"/>
      <c r="AN39" s="328"/>
      <c r="AO39" s="328"/>
      <c r="AP39" s="328"/>
      <c r="AQ39" s="328"/>
      <c r="AR39" s="328"/>
      <c r="AS39" s="328"/>
      <c r="AT39" s="328"/>
      <c r="AU39" s="328"/>
      <c r="AV39" s="328"/>
      <c r="AW39" s="329"/>
      <c r="AX39" s="68"/>
      <c r="AY39" s="69"/>
      <c r="AZ39" s="428"/>
      <c r="BA39" s="429"/>
      <c r="BB39" s="429"/>
      <c r="BC39" s="429"/>
      <c r="BD39" s="429"/>
      <c r="BE39" s="429"/>
      <c r="BF39" s="429"/>
      <c r="BG39" s="429"/>
      <c r="BH39" s="429"/>
      <c r="BI39" s="429"/>
      <c r="BJ39" s="429"/>
      <c r="BK39" s="429"/>
      <c r="BL39" s="429"/>
      <c r="BM39" s="429"/>
      <c r="BN39" s="429"/>
      <c r="BO39" s="430"/>
      <c r="BP39" s="430"/>
      <c r="BQ39" s="430"/>
      <c r="BR39" s="430"/>
      <c r="BS39" s="430"/>
      <c r="BT39" s="431"/>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row>
    <row r="40" spans="1:131" s="69" customFormat="1" ht="13.5" customHeight="1">
      <c r="A40" s="7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BA40" s="70"/>
      <c r="BB40" s="70"/>
      <c r="BC40" s="70"/>
      <c r="BD40" s="70"/>
      <c r="BE40" s="70"/>
      <c r="BF40" s="70"/>
      <c r="BG40" s="70"/>
      <c r="BH40" s="70"/>
      <c r="BI40" s="70"/>
      <c r="BJ40" s="70"/>
      <c r="BK40" s="70"/>
      <c r="BL40" s="70"/>
      <c r="BM40" s="70"/>
      <c r="BN40" s="70"/>
    </row>
    <row r="41" spans="1:131" s="69" customFormat="1" ht="13.5" customHeight="1">
      <c r="AX41" s="73"/>
      <c r="BA41" s="70"/>
      <c r="BB41" s="70"/>
      <c r="BC41" s="70"/>
      <c r="BD41" s="70"/>
      <c r="BE41" s="70"/>
      <c r="BF41" s="70"/>
      <c r="BG41" s="70"/>
      <c r="BH41" s="70"/>
      <c r="BI41" s="70"/>
      <c r="BJ41" s="70"/>
      <c r="BK41" s="70"/>
      <c r="BL41" s="70"/>
      <c r="BM41" s="70"/>
      <c r="BN41" s="70"/>
    </row>
    <row r="42" spans="1:131" s="69" customFormat="1" ht="13.5" customHeight="1">
      <c r="BA42" s="70"/>
      <c r="BB42" s="70"/>
      <c r="BC42" s="70"/>
      <c r="BD42" s="70"/>
      <c r="BE42" s="70"/>
      <c r="BF42" s="70"/>
      <c r="BG42" s="70"/>
      <c r="BH42" s="70"/>
      <c r="BI42" s="70"/>
      <c r="BJ42" s="70"/>
      <c r="BK42" s="70"/>
      <c r="BL42" s="70"/>
      <c r="BM42" s="70"/>
      <c r="BN42" s="70"/>
    </row>
    <row r="43" spans="1:131" s="69" customFormat="1" ht="13.5" customHeight="1">
      <c r="BA43" s="70"/>
      <c r="BB43" s="70"/>
      <c r="BC43" s="70"/>
      <c r="BD43" s="70"/>
      <c r="BE43" s="70"/>
      <c r="BF43" s="70"/>
      <c r="BG43" s="70"/>
      <c r="BH43" s="70"/>
      <c r="BI43" s="70"/>
      <c r="BJ43" s="70"/>
      <c r="BK43" s="70"/>
      <c r="BL43" s="70"/>
      <c r="BM43" s="70"/>
      <c r="BN43" s="70"/>
    </row>
    <row r="44" spans="1:131" s="69" customFormat="1" ht="13.5" customHeight="1">
      <c r="BA44" s="70"/>
      <c r="BB44" s="70"/>
      <c r="BC44" s="70"/>
      <c r="BD44" s="70"/>
      <c r="BE44" s="70"/>
      <c r="BF44" s="70"/>
      <c r="BG44" s="70"/>
      <c r="BH44" s="70"/>
      <c r="BI44" s="70"/>
      <c r="BJ44" s="70"/>
      <c r="BK44" s="70"/>
      <c r="BL44" s="70"/>
      <c r="BM44" s="70"/>
      <c r="BN44" s="70"/>
    </row>
    <row r="45" spans="1:131" s="69" customFormat="1" ht="13.5" customHeight="1">
      <c r="BA45" s="70"/>
      <c r="BB45" s="70"/>
      <c r="BC45" s="70"/>
      <c r="BD45" s="70"/>
      <c r="BE45" s="70"/>
      <c r="BF45" s="70"/>
      <c r="BG45" s="70"/>
      <c r="BH45" s="70"/>
      <c r="BI45" s="70"/>
      <c r="BJ45" s="70"/>
      <c r="BK45" s="70"/>
      <c r="BL45" s="70"/>
      <c r="BM45" s="70"/>
      <c r="BN45" s="70"/>
    </row>
    <row r="46" spans="1:131" s="69" customFormat="1" ht="13.5" customHeight="1">
      <c r="BA46" s="70"/>
      <c r="BB46" s="70"/>
      <c r="BC46" s="70"/>
      <c r="BD46" s="70"/>
      <c r="BE46" s="70"/>
      <c r="BF46" s="70"/>
      <c r="BG46" s="70"/>
      <c r="BH46" s="70"/>
      <c r="BI46" s="70"/>
      <c r="BJ46" s="70"/>
      <c r="BK46" s="70"/>
      <c r="BL46" s="70"/>
      <c r="BM46" s="70"/>
      <c r="BN46" s="70"/>
    </row>
    <row r="47" spans="1:131" s="69" customFormat="1" ht="13.5" customHeight="1">
      <c r="BA47" s="70"/>
      <c r="BB47" s="70"/>
      <c r="BC47" s="70"/>
      <c r="BD47" s="70"/>
      <c r="BE47" s="70"/>
      <c r="BF47" s="70"/>
      <c r="BG47" s="70"/>
      <c r="BH47" s="70"/>
      <c r="BI47" s="70"/>
      <c r="BJ47" s="70"/>
      <c r="BK47" s="70"/>
      <c r="BL47" s="70"/>
      <c r="BM47" s="70"/>
      <c r="BN47" s="70"/>
    </row>
    <row r="48" spans="1:131" s="69" customFormat="1" ht="13.5" customHeight="1">
      <c r="BA48" s="70"/>
      <c r="BB48" s="70"/>
      <c r="BC48" s="70"/>
      <c r="BD48" s="70"/>
      <c r="BE48" s="70"/>
      <c r="BF48" s="70"/>
      <c r="BG48" s="70"/>
      <c r="BH48" s="70"/>
      <c r="BI48" s="70"/>
      <c r="BJ48" s="70"/>
      <c r="BK48" s="70"/>
      <c r="BL48" s="70"/>
      <c r="BM48" s="70"/>
      <c r="BN48" s="70"/>
    </row>
    <row r="49" spans="1:66" s="69" customFormat="1" ht="13.5" customHeight="1">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row>
    <row r="50" spans="1:66" s="69" customFormat="1" ht="13.5" customHeight="1">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row>
    <row r="51" spans="1:66" s="69" customFormat="1" ht="13.5" customHeight="1">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row>
    <row r="52" spans="1:66" s="69" customFormat="1" ht="13.5" customHeight="1">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row>
    <row r="53" spans="1:66" s="69" customFormat="1" ht="13.5" customHeight="1">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row>
    <row r="54" spans="1:66" s="69" customFormat="1" ht="13.5" customHeight="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1:66" s="69" customFormat="1" ht="13.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row>
    <row r="56" spans="1:66" s="69" customFormat="1" ht="13.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row>
    <row r="57" spans="1:66" s="69" customFormat="1" ht="13.5" customHeight="1">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row>
    <row r="58" spans="1:66" s="69" customFormat="1" ht="13.5"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row>
    <row r="59" spans="1:66" s="69" customFormat="1" ht="13.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row>
    <row r="60" spans="1:66" s="69" customFormat="1" ht="13.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1:66" s="69" customFormat="1" ht="13.5"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1:66" s="69" customFormat="1" ht="13.5" customHeight="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s="69" customFormat="1" ht="13.5"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s="69" customFormat="1" ht="13.5" customHeight="1">
      <c r="BA64" s="70"/>
      <c r="BB64" s="70"/>
      <c r="BC64" s="70"/>
      <c r="BD64" s="70"/>
      <c r="BE64" s="70"/>
      <c r="BF64" s="70"/>
      <c r="BG64" s="70"/>
      <c r="BH64" s="70"/>
      <c r="BI64" s="70"/>
      <c r="BJ64" s="70"/>
      <c r="BK64" s="70"/>
      <c r="BL64" s="70"/>
      <c r="BM64" s="70"/>
      <c r="BN64" s="70"/>
    </row>
    <row r="65" spans="53:66" s="69" customFormat="1" ht="13.5" customHeight="1">
      <c r="BA65" s="70"/>
      <c r="BB65" s="70"/>
      <c r="BC65" s="70"/>
      <c r="BD65" s="70"/>
      <c r="BE65" s="70"/>
      <c r="BF65" s="70"/>
      <c r="BG65" s="70"/>
      <c r="BH65" s="70"/>
      <c r="BI65" s="70"/>
      <c r="BJ65" s="70"/>
      <c r="BK65" s="70"/>
      <c r="BL65" s="70"/>
      <c r="BM65" s="70"/>
      <c r="BN65" s="70"/>
    </row>
    <row r="66" spans="53:66" s="69" customFormat="1" ht="13.5" customHeight="1">
      <c r="BA66" s="70"/>
      <c r="BB66" s="70"/>
      <c r="BC66" s="70"/>
      <c r="BD66" s="70"/>
      <c r="BE66" s="70"/>
      <c r="BF66" s="70"/>
      <c r="BG66" s="70"/>
      <c r="BH66" s="70"/>
      <c r="BI66" s="70"/>
      <c r="BJ66" s="70"/>
      <c r="BK66" s="70"/>
      <c r="BL66" s="70"/>
      <c r="BM66" s="70"/>
      <c r="BN66" s="70"/>
    </row>
    <row r="67" spans="53:66" s="69" customFormat="1" ht="13.5" customHeight="1">
      <c r="BA67" s="70"/>
      <c r="BB67" s="70"/>
      <c r="BC67" s="70"/>
      <c r="BD67" s="70"/>
      <c r="BE67" s="70"/>
      <c r="BF67" s="70"/>
      <c r="BG67" s="70"/>
      <c r="BH67" s="70"/>
      <c r="BI67" s="70"/>
      <c r="BJ67" s="70"/>
      <c r="BK67" s="70"/>
      <c r="BL67" s="70"/>
      <c r="BM67" s="70"/>
      <c r="BN67" s="70"/>
    </row>
    <row r="68" spans="53:66" s="69" customFormat="1" ht="13.5" customHeight="1">
      <c r="BA68" s="70"/>
      <c r="BB68" s="70"/>
      <c r="BC68" s="70"/>
      <c r="BD68" s="70"/>
      <c r="BE68" s="70"/>
      <c r="BF68" s="70"/>
      <c r="BG68" s="70"/>
      <c r="BH68" s="70"/>
      <c r="BI68" s="70"/>
      <c r="BJ68" s="70"/>
      <c r="BK68" s="70"/>
      <c r="BL68" s="70"/>
      <c r="BM68" s="70"/>
      <c r="BN68" s="70"/>
    </row>
    <row r="69" spans="53:66" s="69" customFormat="1" ht="13.5" customHeight="1">
      <c r="BA69" s="70"/>
      <c r="BB69" s="70"/>
      <c r="BC69" s="70"/>
      <c r="BD69" s="70"/>
      <c r="BE69" s="70"/>
      <c r="BF69" s="70"/>
      <c r="BG69" s="70"/>
      <c r="BH69" s="70"/>
      <c r="BI69" s="70"/>
      <c r="BJ69" s="70"/>
      <c r="BK69" s="70"/>
      <c r="BL69" s="70"/>
      <c r="BM69" s="70"/>
      <c r="BN69" s="70"/>
    </row>
    <row r="70" spans="53:66" s="69" customFormat="1" ht="13.5" customHeight="1">
      <c r="BA70" s="70"/>
      <c r="BB70" s="70"/>
      <c r="BC70" s="70"/>
      <c r="BD70" s="70"/>
      <c r="BE70" s="70"/>
      <c r="BF70" s="70"/>
      <c r="BG70" s="70"/>
      <c r="BH70" s="70"/>
      <c r="BI70" s="70"/>
      <c r="BJ70" s="70"/>
      <c r="BK70" s="70"/>
      <c r="BL70" s="70"/>
      <c r="BM70" s="70"/>
      <c r="BN70" s="70"/>
    </row>
    <row r="71" spans="53:66" s="69" customFormat="1" ht="13.5" customHeight="1">
      <c r="BA71" s="70"/>
      <c r="BB71" s="70"/>
      <c r="BC71" s="70"/>
      <c r="BD71" s="70"/>
      <c r="BE71" s="70"/>
      <c r="BF71" s="70"/>
      <c r="BG71" s="70"/>
      <c r="BH71" s="70"/>
      <c r="BI71" s="70"/>
      <c r="BJ71" s="70"/>
      <c r="BK71" s="70"/>
      <c r="BL71" s="70"/>
      <c r="BM71" s="70"/>
      <c r="BN71" s="70"/>
    </row>
    <row r="72" spans="53:66" s="69" customFormat="1" ht="13.5" customHeight="1">
      <c r="BA72" s="70"/>
      <c r="BB72" s="70"/>
      <c r="BC72" s="70"/>
      <c r="BD72" s="70"/>
      <c r="BE72" s="70"/>
      <c r="BF72" s="70"/>
      <c r="BG72" s="70"/>
      <c r="BH72" s="70"/>
      <c r="BI72" s="70"/>
      <c r="BJ72" s="70"/>
      <c r="BK72" s="70"/>
      <c r="BL72" s="70"/>
      <c r="BM72" s="70"/>
      <c r="BN72" s="70"/>
    </row>
    <row r="73" spans="53:66" s="69" customFormat="1" ht="13.5" customHeight="1">
      <c r="BA73" s="70"/>
      <c r="BB73" s="70"/>
      <c r="BC73" s="70"/>
      <c r="BD73" s="70"/>
      <c r="BE73" s="70"/>
      <c r="BF73" s="70"/>
      <c r="BG73" s="70"/>
      <c r="BH73" s="70"/>
      <c r="BI73" s="70"/>
      <c r="BJ73" s="70"/>
      <c r="BK73" s="70"/>
      <c r="BL73" s="70"/>
      <c r="BM73" s="70"/>
      <c r="BN73" s="70"/>
    </row>
    <row r="74" spans="53:66" s="69" customFormat="1" ht="13.5" customHeight="1">
      <c r="BA74" s="70"/>
      <c r="BB74" s="70"/>
      <c r="BC74" s="70"/>
      <c r="BD74" s="70"/>
      <c r="BE74" s="70"/>
      <c r="BF74" s="70"/>
      <c r="BG74" s="70"/>
      <c r="BH74" s="70"/>
      <c r="BI74" s="70"/>
      <c r="BJ74" s="70"/>
      <c r="BK74" s="70"/>
      <c r="BL74" s="70"/>
      <c r="BM74" s="70"/>
      <c r="BN74" s="70"/>
    </row>
    <row r="75" spans="53:66" s="69" customFormat="1" ht="13.5" customHeight="1">
      <c r="BA75" s="70"/>
      <c r="BB75" s="70"/>
      <c r="BC75" s="70"/>
      <c r="BD75" s="70"/>
      <c r="BE75" s="70"/>
      <c r="BF75" s="70"/>
      <c r="BG75" s="70"/>
      <c r="BH75" s="70"/>
      <c r="BI75" s="70"/>
      <c r="BJ75" s="70"/>
      <c r="BK75" s="70"/>
      <c r="BL75" s="70"/>
      <c r="BM75" s="70"/>
      <c r="BN75" s="70"/>
    </row>
    <row r="76" spans="53:66" s="69" customFormat="1" ht="13.5" customHeight="1">
      <c r="BA76" s="70"/>
      <c r="BB76" s="70"/>
      <c r="BC76" s="70"/>
      <c r="BD76" s="70"/>
      <c r="BE76" s="70"/>
      <c r="BF76" s="70"/>
      <c r="BG76" s="70"/>
      <c r="BH76" s="70"/>
      <c r="BI76" s="70"/>
      <c r="BJ76" s="70"/>
      <c r="BK76" s="70"/>
      <c r="BL76" s="70"/>
      <c r="BM76" s="70"/>
      <c r="BN76" s="70"/>
    </row>
    <row r="77" spans="53:66" s="69" customFormat="1" ht="13.5" customHeight="1">
      <c r="BA77" s="70"/>
      <c r="BB77" s="70"/>
      <c r="BC77" s="70"/>
      <c r="BD77" s="70"/>
      <c r="BE77" s="70"/>
      <c r="BF77" s="70"/>
      <c r="BG77" s="70"/>
      <c r="BH77" s="70"/>
      <c r="BI77" s="70"/>
      <c r="BJ77" s="70"/>
      <c r="BK77" s="70"/>
      <c r="BL77" s="70"/>
      <c r="BM77" s="70"/>
      <c r="BN77" s="70"/>
    </row>
    <row r="78" spans="53:66" s="69" customFormat="1" ht="13.5" customHeight="1">
      <c r="BA78" s="70"/>
      <c r="BB78" s="70"/>
      <c r="BC78" s="70"/>
      <c r="BD78" s="70"/>
      <c r="BE78" s="70"/>
      <c r="BF78" s="70"/>
      <c r="BG78" s="70"/>
      <c r="BH78" s="70"/>
      <c r="BI78" s="70"/>
      <c r="BJ78" s="70"/>
      <c r="BK78" s="70"/>
      <c r="BL78" s="70"/>
      <c r="BM78" s="70"/>
      <c r="BN78" s="70"/>
    </row>
    <row r="79" spans="53:66" s="69" customFormat="1" ht="13.5" customHeight="1">
      <c r="BA79" s="70"/>
      <c r="BB79" s="70"/>
      <c r="BC79" s="70"/>
      <c r="BD79" s="70"/>
      <c r="BE79" s="70"/>
      <c r="BF79" s="70"/>
      <c r="BG79" s="70"/>
      <c r="BH79" s="70"/>
      <c r="BI79" s="70"/>
      <c r="BJ79" s="70"/>
      <c r="BK79" s="70"/>
      <c r="BL79" s="70"/>
      <c r="BM79" s="70"/>
      <c r="BN79" s="70"/>
    </row>
    <row r="80" spans="53:66" s="69" customFormat="1" ht="13.5" customHeight="1">
      <c r="BA80" s="70"/>
      <c r="BB80" s="70"/>
      <c r="BC80" s="70"/>
      <c r="BD80" s="70"/>
      <c r="BE80" s="70"/>
      <c r="BF80" s="70"/>
      <c r="BG80" s="70"/>
      <c r="BH80" s="70"/>
      <c r="BI80" s="70"/>
      <c r="BJ80" s="70"/>
      <c r="BK80" s="70"/>
      <c r="BL80" s="70"/>
      <c r="BM80" s="70"/>
      <c r="BN80" s="70"/>
    </row>
    <row r="81" spans="53:66" s="69" customFormat="1" ht="13.5" customHeight="1">
      <c r="BA81" s="70"/>
      <c r="BB81" s="70"/>
      <c r="BC81" s="70"/>
      <c r="BD81" s="70"/>
      <c r="BE81" s="70"/>
      <c r="BF81" s="70"/>
      <c r="BG81" s="70"/>
      <c r="BH81" s="70"/>
      <c r="BI81" s="70"/>
      <c r="BJ81" s="70"/>
      <c r="BK81" s="70"/>
      <c r="BL81" s="70"/>
      <c r="BM81" s="70"/>
      <c r="BN81" s="70"/>
    </row>
    <row r="82" spans="53:66" s="69" customFormat="1" ht="13.5" customHeight="1">
      <c r="BA82" s="70"/>
      <c r="BB82" s="70"/>
      <c r="BC82" s="70"/>
      <c r="BD82" s="70"/>
      <c r="BE82" s="70"/>
      <c r="BF82" s="70"/>
      <c r="BG82" s="70"/>
      <c r="BH82" s="70"/>
      <c r="BI82" s="70"/>
      <c r="BJ82" s="70"/>
      <c r="BK82" s="70"/>
      <c r="BL82" s="70"/>
      <c r="BM82" s="70"/>
      <c r="BN82" s="70"/>
    </row>
    <row r="83" spans="53:66" s="69" customFormat="1" ht="13.5" customHeight="1">
      <c r="BA83" s="70"/>
      <c r="BB83" s="70"/>
      <c r="BC83" s="70"/>
      <c r="BD83" s="70"/>
      <c r="BE83" s="70"/>
      <c r="BF83" s="70"/>
      <c r="BG83" s="70"/>
      <c r="BH83" s="70"/>
      <c r="BI83" s="70"/>
      <c r="BJ83" s="70"/>
      <c r="BK83" s="70"/>
      <c r="BL83" s="70"/>
      <c r="BM83" s="70"/>
      <c r="BN83" s="70"/>
    </row>
    <row r="84" spans="53:66" s="69" customFormat="1" ht="13.5" customHeight="1">
      <c r="BA84" s="70"/>
      <c r="BB84" s="70"/>
      <c r="BC84" s="70"/>
      <c r="BD84" s="70"/>
      <c r="BE84" s="70"/>
      <c r="BF84" s="70"/>
      <c r="BG84" s="70"/>
      <c r="BH84" s="70"/>
      <c r="BI84" s="70"/>
      <c r="BJ84" s="70"/>
      <c r="BK84" s="70"/>
      <c r="BL84" s="70"/>
      <c r="BM84" s="70"/>
      <c r="BN84" s="70"/>
    </row>
    <row r="85" spans="53:66" s="69" customFormat="1" ht="13.5" customHeight="1">
      <c r="BA85" s="70"/>
      <c r="BB85" s="70"/>
      <c r="BC85" s="70"/>
      <c r="BD85" s="70"/>
      <c r="BE85" s="70"/>
      <c r="BF85" s="70"/>
      <c r="BG85" s="70"/>
      <c r="BH85" s="70"/>
      <c r="BI85" s="70"/>
      <c r="BJ85" s="70"/>
      <c r="BK85" s="70"/>
      <c r="BL85" s="70"/>
      <c r="BM85" s="70"/>
      <c r="BN85" s="70"/>
    </row>
    <row r="86" spans="53:66" s="69" customFormat="1" ht="13.5" customHeight="1">
      <c r="BA86" s="70"/>
      <c r="BB86" s="70"/>
      <c r="BC86" s="70"/>
      <c r="BD86" s="70"/>
      <c r="BE86" s="70"/>
      <c r="BF86" s="70"/>
      <c r="BG86" s="70"/>
      <c r="BH86" s="70"/>
      <c r="BI86" s="70"/>
      <c r="BJ86" s="70"/>
      <c r="BK86" s="70"/>
      <c r="BL86" s="70"/>
      <c r="BM86" s="70"/>
      <c r="BN86" s="70"/>
    </row>
    <row r="87" spans="53:66" s="69" customFormat="1" ht="13.5" customHeight="1">
      <c r="BA87" s="70"/>
      <c r="BB87" s="70"/>
      <c r="BC87" s="70"/>
      <c r="BD87" s="70"/>
      <c r="BE87" s="70"/>
      <c r="BF87" s="70"/>
      <c r="BG87" s="70"/>
      <c r="BH87" s="70"/>
      <c r="BI87" s="70"/>
      <c r="BJ87" s="70"/>
      <c r="BK87" s="70"/>
      <c r="BL87" s="70"/>
      <c r="BM87" s="70"/>
      <c r="BN87" s="70"/>
    </row>
    <row r="88" spans="53:66" s="69" customFormat="1" ht="13.5" customHeight="1">
      <c r="BA88" s="70"/>
      <c r="BB88" s="70"/>
      <c r="BC88" s="70"/>
      <c r="BD88" s="70"/>
      <c r="BE88" s="70"/>
      <c r="BF88" s="70"/>
      <c r="BG88" s="70"/>
      <c r="BH88" s="70"/>
      <c r="BI88" s="70"/>
      <c r="BJ88" s="70"/>
      <c r="BK88" s="70"/>
      <c r="BL88" s="70"/>
      <c r="BM88" s="70"/>
      <c r="BN88" s="70"/>
    </row>
    <row r="89" spans="53:66" s="69" customFormat="1" ht="13.5" customHeight="1">
      <c r="BA89" s="70"/>
      <c r="BB89" s="70"/>
      <c r="BC89" s="70"/>
      <c r="BD89" s="70"/>
      <c r="BE89" s="70"/>
      <c r="BF89" s="70"/>
      <c r="BG89" s="70"/>
      <c r="BH89" s="70"/>
      <c r="BI89" s="70"/>
      <c r="BJ89" s="70"/>
      <c r="BK89" s="70"/>
      <c r="BL89" s="70"/>
      <c r="BM89" s="70"/>
      <c r="BN89" s="70"/>
    </row>
    <row r="90" spans="53:66" s="69" customFormat="1" ht="13.5" customHeight="1">
      <c r="BA90" s="70"/>
      <c r="BB90" s="70"/>
      <c r="BC90" s="70"/>
      <c r="BD90" s="70"/>
      <c r="BE90" s="70"/>
      <c r="BF90" s="70"/>
      <c r="BG90" s="70"/>
      <c r="BH90" s="70"/>
      <c r="BI90" s="70"/>
      <c r="BJ90" s="70"/>
      <c r="BK90" s="70"/>
      <c r="BL90" s="70"/>
      <c r="BM90" s="70"/>
      <c r="BN90" s="70"/>
    </row>
    <row r="91" spans="53:66" s="69" customFormat="1" ht="13.5" customHeight="1">
      <c r="BA91" s="70"/>
      <c r="BB91" s="70"/>
      <c r="BC91" s="70"/>
      <c r="BD91" s="70"/>
      <c r="BE91" s="70"/>
      <c r="BF91" s="70"/>
      <c r="BG91" s="70"/>
      <c r="BH91" s="70"/>
      <c r="BI91" s="70"/>
      <c r="BJ91" s="70"/>
      <c r="BK91" s="70"/>
      <c r="BL91" s="70"/>
      <c r="BM91" s="70"/>
      <c r="BN91" s="70"/>
    </row>
    <row r="92" spans="53:66" s="69" customFormat="1" ht="13.5" customHeight="1">
      <c r="BA92" s="70"/>
      <c r="BB92" s="70"/>
      <c r="BC92" s="70"/>
      <c r="BD92" s="70"/>
      <c r="BE92" s="70"/>
      <c r="BF92" s="70"/>
      <c r="BG92" s="70"/>
      <c r="BH92" s="70"/>
      <c r="BI92" s="70"/>
      <c r="BJ92" s="70"/>
      <c r="BK92" s="70"/>
      <c r="BL92" s="70"/>
      <c r="BM92" s="70"/>
      <c r="BN92" s="70"/>
    </row>
    <row r="93" spans="53:66" s="69" customFormat="1" ht="13.5" customHeight="1">
      <c r="BA93" s="70"/>
      <c r="BB93" s="70"/>
      <c r="BC93" s="70"/>
      <c r="BD93" s="70"/>
      <c r="BE93" s="70"/>
      <c r="BF93" s="70"/>
      <c r="BG93" s="70"/>
      <c r="BH93" s="70"/>
      <c r="BI93" s="70"/>
      <c r="BJ93" s="70"/>
      <c r="BK93" s="70"/>
      <c r="BL93" s="70"/>
      <c r="BM93" s="70"/>
      <c r="BN93" s="70"/>
    </row>
    <row r="94" spans="53:66" s="69" customFormat="1" ht="13.5" customHeight="1">
      <c r="BA94" s="70"/>
      <c r="BB94" s="70"/>
      <c r="BC94" s="70"/>
      <c r="BD94" s="70"/>
      <c r="BE94" s="70"/>
      <c r="BF94" s="70"/>
      <c r="BG94" s="70"/>
      <c r="BH94" s="70"/>
      <c r="BI94" s="70"/>
      <c r="BJ94" s="70"/>
      <c r="BK94" s="70"/>
      <c r="BL94" s="70"/>
      <c r="BM94" s="70"/>
      <c r="BN94" s="70"/>
    </row>
    <row r="95" spans="53:66" s="69" customFormat="1" ht="13.5" customHeight="1">
      <c r="BA95" s="70"/>
      <c r="BB95" s="70"/>
      <c r="BC95" s="70"/>
      <c r="BD95" s="70"/>
      <c r="BE95" s="70"/>
      <c r="BF95" s="70"/>
      <c r="BG95" s="70"/>
      <c r="BH95" s="70"/>
      <c r="BI95" s="70"/>
      <c r="BJ95" s="70"/>
      <c r="BK95" s="70"/>
      <c r="BL95" s="70"/>
      <c r="BM95" s="70"/>
      <c r="BN95" s="70"/>
    </row>
    <row r="96" spans="53:66" s="69" customFormat="1" ht="13.5" customHeight="1">
      <c r="BA96" s="70"/>
      <c r="BB96" s="70"/>
      <c r="BC96" s="70"/>
      <c r="BD96" s="70"/>
      <c r="BE96" s="70"/>
      <c r="BF96" s="70"/>
      <c r="BG96" s="70"/>
      <c r="BH96" s="70"/>
      <c r="BI96" s="70"/>
      <c r="BJ96" s="70"/>
      <c r="BK96" s="70"/>
      <c r="BL96" s="70"/>
      <c r="BM96" s="70"/>
      <c r="BN96" s="70"/>
    </row>
    <row r="97" spans="53:66" s="69" customFormat="1" ht="13.5" customHeight="1">
      <c r="BA97" s="70"/>
      <c r="BB97" s="70"/>
      <c r="BC97" s="70"/>
      <c r="BD97" s="70"/>
      <c r="BE97" s="70"/>
      <c r="BF97" s="70"/>
      <c r="BG97" s="70"/>
      <c r="BH97" s="70"/>
      <c r="BI97" s="70"/>
      <c r="BJ97" s="70"/>
      <c r="BK97" s="70"/>
      <c r="BL97" s="70"/>
      <c r="BM97" s="70"/>
      <c r="BN97" s="70"/>
    </row>
    <row r="98" spans="53:66" s="69" customFormat="1" ht="13.5" customHeight="1">
      <c r="BA98" s="70"/>
      <c r="BB98" s="70"/>
      <c r="BC98" s="70"/>
      <c r="BD98" s="70"/>
      <c r="BE98" s="70"/>
      <c r="BF98" s="70"/>
      <c r="BG98" s="70"/>
      <c r="BH98" s="70"/>
      <c r="BI98" s="70"/>
      <c r="BJ98" s="70"/>
      <c r="BK98" s="70"/>
      <c r="BL98" s="70"/>
      <c r="BM98" s="70"/>
      <c r="BN98" s="70"/>
    </row>
    <row r="99" spans="53:66" s="69" customFormat="1" ht="13.5" customHeight="1">
      <c r="BA99" s="70"/>
      <c r="BB99" s="70"/>
      <c r="BC99" s="70"/>
      <c r="BD99" s="70"/>
      <c r="BE99" s="70"/>
      <c r="BF99" s="70"/>
      <c r="BG99" s="70"/>
      <c r="BH99" s="70"/>
      <c r="BI99" s="70"/>
      <c r="BJ99" s="70"/>
      <c r="BK99" s="70"/>
      <c r="BL99" s="70"/>
      <c r="BM99" s="70"/>
      <c r="BN99" s="70"/>
    </row>
    <row r="100" spans="53:66" s="69" customFormat="1" ht="13.5" customHeight="1">
      <c r="BA100" s="70"/>
      <c r="BB100" s="70"/>
      <c r="BC100" s="70"/>
      <c r="BD100" s="70"/>
      <c r="BE100" s="70"/>
      <c r="BF100" s="70"/>
      <c r="BG100" s="70"/>
      <c r="BH100" s="70"/>
      <c r="BI100" s="70"/>
      <c r="BJ100" s="70"/>
      <c r="BK100" s="70"/>
      <c r="BL100" s="70"/>
      <c r="BM100" s="70"/>
      <c r="BN100" s="70"/>
    </row>
    <row r="101" spans="53:66" s="69" customFormat="1" ht="13.5" customHeight="1">
      <c r="BA101" s="70"/>
      <c r="BB101" s="70"/>
      <c r="BC101" s="70"/>
      <c r="BD101" s="70"/>
      <c r="BE101" s="70"/>
      <c r="BF101" s="70"/>
      <c r="BG101" s="70"/>
      <c r="BH101" s="70"/>
      <c r="BI101" s="70"/>
      <c r="BJ101" s="70"/>
      <c r="BK101" s="70"/>
      <c r="BL101" s="70"/>
      <c r="BM101" s="70"/>
      <c r="BN101" s="70"/>
    </row>
    <row r="102" spans="53:66" s="69" customFormat="1" ht="13.5" customHeight="1">
      <c r="BA102" s="70"/>
      <c r="BB102" s="70"/>
      <c r="BC102" s="70"/>
      <c r="BD102" s="70"/>
      <c r="BE102" s="70"/>
      <c r="BF102" s="70"/>
      <c r="BG102" s="70"/>
      <c r="BH102" s="70"/>
      <c r="BI102" s="70"/>
      <c r="BJ102" s="70"/>
      <c r="BK102" s="70"/>
      <c r="BL102" s="70"/>
      <c r="BM102" s="70"/>
      <c r="BN102" s="70"/>
    </row>
    <row r="103" spans="53:66" s="69" customFormat="1" ht="13.5" customHeight="1">
      <c r="BA103" s="70"/>
      <c r="BB103" s="70"/>
      <c r="BC103" s="70"/>
      <c r="BD103" s="70"/>
      <c r="BE103" s="70"/>
      <c r="BF103" s="70"/>
      <c r="BG103" s="70"/>
      <c r="BH103" s="70"/>
      <c r="BI103" s="70"/>
      <c r="BJ103" s="70"/>
      <c r="BK103" s="70"/>
      <c r="BL103" s="70"/>
      <c r="BM103" s="70"/>
      <c r="BN103" s="70"/>
    </row>
    <row r="104" spans="53:66" s="69" customFormat="1" ht="13.5" customHeight="1">
      <c r="BA104" s="70"/>
      <c r="BB104" s="70"/>
      <c r="BC104" s="70"/>
      <c r="BD104" s="70"/>
      <c r="BE104" s="70"/>
      <c r="BF104" s="70"/>
      <c r="BG104" s="70"/>
      <c r="BH104" s="70"/>
      <c r="BI104" s="70"/>
      <c r="BJ104" s="70"/>
      <c r="BK104" s="70"/>
      <c r="BL104" s="70"/>
      <c r="BM104" s="70"/>
      <c r="BN104" s="70"/>
    </row>
    <row r="105" spans="53:66" s="69" customFormat="1" ht="13.5" customHeight="1">
      <c r="BA105" s="70"/>
      <c r="BB105" s="70"/>
      <c r="BC105" s="70"/>
      <c r="BD105" s="70"/>
      <c r="BE105" s="70"/>
      <c r="BF105" s="70"/>
      <c r="BG105" s="70"/>
      <c r="BH105" s="70"/>
      <c r="BI105" s="70"/>
      <c r="BJ105" s="70"/>
      <c r="BK105" s="70"/>
      <c r="BL105" s="70"/>
      <c r="BM105" s="70"/>
      <c r="BN105" s="70"/>
    </row>
    <row r="106" spans="53:66" s="69" customFormat="1" ht="13.5" customHeight="1">
      <c r="BA106" s="70"/>
      <c r="BB106" s="70"/>
      <c r="BC106" s="70"/>
      <c r="BD106" s="70"/>
      <c r="BE106" s="70"/>
      <c r="BF106" s="70"/>
      <c r="BG106" s="70"/>
      <c r="BH106" s="70"/>
      <c r="BI106" s="70"/>
      <c r="BJ106" s="70"/>
      <c r="BK106" s="70"/>
      <c r="BL106" s="70"/>
      <c r="BM106" s="70"/>
      <c r="BN106" s="70"/>
    </row>
    <row r="107" spans="53:66" s="69" customFormat="1" ht="13.5" customHeight="1">
      <c r="BA107" s="70"/>
      <c r="BB107" s="70"/>
      <c r="BC107" s="70"/>
      <c r="BD107" s="70"/>
      <c r="BE107" s="70"/>
      <c r="BF107" s="70"/>
      <c r="BG107" s="70"/>
      <c r="BH107" s="70"/>
      <c r="BI107" s="70"/>
      <c r="BJ107" s="70"/>
      <c r="BK107" s="70"/>
      <c r="BL107" s="70"/>
      <c r="BM107" s="70"/>
      <c r="BN107" s="70"/>
    </row>
    <row r="108" spans="53:66" s="69" customFormat="1" ht="13.5" customHeight="1">
      <c r="BA108" s="70"/>
      <c r="BB108" s="70"/>
      <c r="BC108" s="70"/>
      <c r="BD108" s="70"/>
      <c r="BE108" s="70"/>
      <c r="BF108" s="70"/>
      <c r="BG108" s="70"/>
      <c r="BH108" s="70"/>
      <c r="BI108" s="70"/>
      <c r="BJ108" s="70"/>
      <c r="BK108" s="70"/>
      <c r="BL108" s="70"/>
      <c r="BM108" s="70"/>
      <c r="BN108" s="70"/>
    </row>
    <row r="109" spans="53:66" s="69" customFormat="1" ht="13.5" customHeight="1">
      <c r="BA109" s="70"/>
      <c r="BB109" s="70"/>
      <c r="BC109" s="70"/>
      <c r="BD109" s="70"/>
      <c r="BE109" s="70"/>
      <c r="BF109" s="70"/>
      <c r="BG109" s="70"/>
      <c r="BH109" s="70"/>
      <c r="BI109" s="70"/>
      <c r="BJ109" s="70"/>
      <c r="BK109" s="70"/>
      <c r="BL109" s="70"/>
      <c r="BM109" s="70"/>
      <c r="BN109" s="70"/>
    </row>
    <row r="110" spans="53:66" s="69" customFormat="1" ht="13.5" customHeight="1">
      <c r="BA110" s="70"/>
      <c r="BB110" s="70"/>
      <c r="BC110" s="70"/>
      <c r="BD110" s="70"/>
      <c r="BE110" s="70"/>
      <c r="BF110" s="70"/>
      <c r="BG110" s="70"/>
      <c r="BH110" s="70"/>
      <c r="BI110" s="70"/>
      <c r="BJ110" s="70"/>
      <c r="BK110" s="70"/>
      <c r="BL110" s="70"/>
      <c r="BM110" s="70"/>
      <c r="BN110" s="70"/>
    </row>
    <row r="111" spans="53:66" s="69" customFormat="1" ht="13.5" customHeight="1">
      <c r="BA111" s="70"/>
      <c r="BB111" s="70"/>
      <c r="BC111" s="70"/>
      <c r="BD111" s="70"/>
      <c r="BE111" s="70"/>
      <c r="BF111" s="70"/>
      <c r="BG111" s="70"/>
      <c r="BH111" s="70"/>
      <c r="BI111" s="70"/>
      <c r="BJ111" s="70"/>
      <c r="BK111" s="70"/>
      <c r="BL111" s="70"/>
      <c r="BM111" s="70"/>
      <c r="BN111" s="70"/>
    </row>
    <row r="112" spans="53:66" s="69" customFormat="1" ht="13.5" customHeight="1">
      <c r="BA112" s="70"/>
      <c r="BB112" s="70"/>
      <c r="BC112" s="70"/>
      <c r="BD112" s="70"/>
      <c r="BE112" s="70"/>
      <c r="BF112" s="70"/>
      <c r="BG112" s="70"/>
      <c r="BH112" s="70"/>
      <c r="BI112" s="70"/>
      <c r="BJ112" s="70"/>
      <c r="BK112" s="70"/>
      <c r="BL112" s="70"/>
      <c r="BM112" s="70"/>
      <c r="BN112" s="70"/>
    </row>
    <row r="113" spans="53:66" s="69" customFormat="1" ht="13.5" customHeight="1">
      <c r="BA113" s="70"/>
      <c r="BB113" s="70"/>
      <c r="BC113" s="70"/>
      <c r="BD113" s="70"/>
      <c r="BE113" s="70"/>
      <c r="BF113" s="70"/>
      <c r="BG113" s="70"/>
      <c r="BH113" s="70"/>
      <c r="BI113" s="70"/>
      <c r="BJ113" s="70"/>
      <c r="BK113" s="70"/>
      <c r="BL113" s="70"/>
      <c r="BM113" s="70"/>
      <c r="BN113" s="70"/>
    </row>
    <row r="114" spans="53:66" s="69" customFormat="1" ht="13.5" customHeight="1">
      <c r="BA114" s="70"/>
      <c r="BB114" s="70"/>
      <c r="BC114" s="70"/>
      <c r="BD114" s="70"/>
      <c r="BE114" s="70"/>
      <c r="BF114" s="70"/>
      <c r="BG114" s="70"/>
      <c r="BH114" s="70"/>
      <c r="BI114" s="70"/>
      <c r="BJ114" s="70"/>
      <c r="BK114" s="70"/>
      <c r="BL114" s="70"/>
      <c r="BM114" s="70"/>
      <c r="BN114" s="70"/>
    </row>
    <row r="115" spans="53:66" s="69" customFormat="1" ht="13.5" customHeight="1">
      <c r="BA115" s="70"/>
      <c r="BB115" s="70"/>
      <c r="BC115" s="70"/>
      <c r="BD115" s="70"/>
      <c r="BE115" s="70"/>
      <c r="BF115" s="70"/>
      <c r="BG115" s="70"/>
      <c r="BH115" s="70"/>
      <c r="BI115" s="70"/>
      <c r="BJ115" s="70"/>
      <c r="BK115" s="70"/>
      <c r="BL115" s="70"/>
      <c r="BM115" s="70"/>
      <c r="BN115" s="70"/>
    </row>
    <row r="116" spans="53:66" s="69" customFormat="1" ht="13.5" customHeight="1">
      <c r="BA116" s="70"/>
      <c r="BB116" s="70"/>
      <c r="BC116" s="70"/>
      <c r="BD116" s="70"/>
      <c r="BE116" s="70"/>
      <c r="BF116" s="70"/>
      <c r="BG116" s="70"/>
      <c r="BH116" s="70"/>
      <c r="BI116" s="70"/>
      <c r="BJ116" s="70"/>
      <c r="BK116" s="70"/>
      <c r="BL116" s="70"/>
      <c r="BM116" s="70"/>
      <c r="BN116" s="70"/>
    </row>
    <row r="117" spans="53:66" s="69" customFormat="1" ht="13.5" customHeight="1">
      <c r="BA117" s="70"/>
      <c r="BB117" s="70"/>
      <c r="BC117" s="70"/>
      <c r="BD117" s="70"/>
      <c r="BE117" s="70"/>
      <c r="BF117" s="70"/>
      <c r="BG117" s="70"/>
      <c r="BH117" s="70"/>
      <c r="BI117" s="70"/>
      <c r="BJ117" s="70"/>
      <c r="BK117" s="70"/>
      <c r="BL117" s="70"/>
      <c r="BM117" s="70"/>
      <c r="BN117" s="70"/>
    </row>
    <row r="118" spans="53:66" s="69" customFormat="1" ht="13.5" customHeight="1">
      <c r="BA118" s="70"/>
      <c r="BB118" s="70"/>
      <c r="BC118" s="70"/>
      <c r="BD118" s="70"/>
      <c r="BE118" s="70"/>
      <c r="BF118" s="70"/>
      <c r="BG118" s="70"/>
      <c r="BH118" s="70"/>
      <c r="BI118" s="70"/>
      <c r="BJ118" s="70"/>
      <c r="BK118" s="70"/>
      <c r="BL118" s="70"/>
      <c r="BM118" s="70"/>
      <c r="BN118" s="70"/>
    </row>
    <row r="119" spans="53:66" s="69" customFormat="1" ht="13.5" customHeight="1">
      <c r="BA119" s="70"/>
      <c r="BB119" s="70"/>
      <c r="BC119" s="70"/>
      <c r="BD119" s="70"/>
      <c r="BE119" s="70"/>
      <c r="BF119" s="70"/>
      <c r="BG119" s="70"/>
      <c r="BH119" s="70"/>
      <c r="BI119" s="70"/>
      <c r="BJ119" s="70"/>
      <c r="BK119" s="70"/>
      <c r="BL119" s="70"/>
      <c r="BM119" s="70"/>
      <c r="BN119" s="70"/>
    </row>
    <row r="120" spans="53:66" s="69" customFormat="1" ht="13.5" customHeight="1">
      <c r="BA120" s="70"/>
      <c r="BB120" s="70"/>
      <c r="BC120" s="70"/>
      <c r="BD120" s="70"/>
      <c r="BE120" s="70"/>
      <c r="BF120" s="70"/>
      <c r="BG120" s="70"/>
      <c r="BH120" s="70"/>
      <c r="BI120" s="70"/>
      <c r="BJ120" s="70"/>
      <c r="BK120" s="70"/>
      <c r="BL120" s="70"/>
      <c r="BM120" s="70"/>
      <c r="BN120" s="70"/>
    </row>
    <row r="121" spans="53:66" s="69" customFormat="1" ht="13.5" customHeight="1">
      <c r="BA121" s="70"/>
      <c r="BB121" s="70"/>
      <c r="BC121" s="70"/>
      <c r="BD121" s="70"/>
      <c r="BE121" s="70"/>
      <c r="BF121" s="70"/>
      <c r="BG121" s="70"/>
      <c r="BH121" s="70"/>
      <c r="BI121" s="70"/>
      <c r="BJ121" s="70"/>
      <c r="BK121" s="70"/>
      <c r="BL121" s="70"/>
      <c r="BM121" s="70"/>
      <c r="BN121" s="70"/>
    </row>
    <row r="122" spans="53:66" s="69" customFormat="1" ht="13.5" customHeight="1">
      <c r="BA122" s="70"/>
      <c r="BB122" s="70"/>
      <c r="BC122" s="70"/>
      <c r="BD122" s="70"/>
      <c r="BE122" s="70"/>
      <c r="BF122" s="70"/>
      <c r="BG122" s="70"/>
      <c r="BH122" s="70"/>
      <c r="BI122" s="70"/>
      <c r="BJ122" s="70"/>
      <c r="BK122" s="70"/>
      <c r="BL122" s="70"/>
      <c r="BM122" s="70"/>
      <c r="BN122" s="70"/>
    </row>
    <row r="123" spans="53:66" s="69" customFormat="1" ht="13.5" customHeight="1">
      <c r="BA123" s="70"/>
      <c r="BB123" s="70"/>
      <c r="BC123" s="70"/>
      <c r="BD123" s="70"/>
      <c r="BE123" s="70"/>
      <c r="BF123" s="70"/>
      <c r="BG123" s="70"/>
      <c r="BH123" s="70"/>
      <c r="BI123" s="70"/>
      <c r="BJ123" s="70"/>
      <c r="BK123" s="70"/>
      <c r="BL123" s="70"/>
      <c r="BM123" s="70"/>
      <c r="BN123" s="70"/>
    </row>
    <row r="124" spans="53:66" s="69" customFormat="1" ht="13.5" customHeight="1">
      <c r="BA124" s="70"/>
      <c r="BB124" s="70"/>
      <c r="BC124" s="70"/>
      <c r="BD124" s="70"/>
      <c r="BE124" s="70"/>
      <c r="BF124" s="70"/>
      <c r="BG124" s="70"/>
      <c r="BH124" s="70"/>
      <c r="BI124" s="70"/>
      <c r="BJ124" s="70"/>
      <c r="BK124" s="70"/>
      <c r="BL124" s="70"/>
      <c r="BM124" s="70"/>
      <c r="BN124" s="70"/>
    </row>
    <row r="125" spans="53:66" s="69" customFormat="1" ht="13.5" customHeight="1">
      <c r="BA125" s="70"/>
      <c r="BB125" s="70"/>
      <c r="BC125" s="70"/>
      <c r="BD125" s="70"/>
      <c r="BE125" s="70"/>
      <c r="BF125" s="70"/>
      <c r="BG125" s="70"/>
      <c r="BH125" s="70"/>
      <c r="BI125" s="70"/>
      <c r="BJ125" s="70"/>
      <c r="BK125" s="70"/>
      <c r="BL125" s="70"/>
      <c r="BM125" s="70"/>
      <c r="BN125" s="70"/>
    </row>
    <row r="126" spans="53:66" s="69" customFormat="1" ht="13.5" customHeight="1">
      <c r="BA126" s="70"/>
      <c r="BB126" s="70"/>
      <c r="BC126" s="70"/>
      <c r="BD126" s="70"/>
      <c r="BE126" s="70"/>
      <c r="BF126" s="70"/>
      <c r="BG126" s="70"/>
      <c r="BH126" s="70"/>
      <c r="BI126" s="70"/>
      <c r="BJ126" s="70"/>
      <c r="BK126" s="70"/>
      <c r="BL126" s="70"/>
      <c r="BM126" s="70"/>
      <c r="BN126" s="70"/>
    </row>
  </sheetData>
  <sheetProtection selectLockedCells="1"/>
  <mergeCells count="181">
    <mergeCell ref="AJ15:AK15"/>
    <mergeCell ref="D21:E21"/>
    <mergeCell ref="N30:O30"/>
    <mergeCell ref="P30:Q30"/>
    <mergeCell ref="R30:S30"/>
    <mergeCell ref="W30:Y30"/>
    <mergeCell ref="W28:Y28"/>
    <mergeCell ref="B38:AC39"/>
    <mergeCell ref="I24:L24"/>
    <mergeCell ref="I25:L25"/>
    <mergeCell ref="D24:H25"/>
    <mergeCell ref="P24:R25"/>
    <mergeCell ref="M24:O25"/>
    <mergeCell ref="AF24:AI24"/>
    <mergeCell ref="AF25:AI25"/>
    <mergeCell ref="AC24:AE25"/>
    <mergeCell ref="AJ24:AK25"/>
    <mergeCell ref="T28:V28"/>
    <mergeCell ref="Z28:AA28"/>
    <mergeCell ref="AB31:AC31"/>
    <mergeCell ref="AB32:AC32"/>
    <mergeCell ref="AB33:AC33"/>
    <mergeCell ref="AB34:AC34"/>
    <mergeCell ref="AB35:AC35"/>
    <mergeCell ref="AU19:AW19"/>
    <mergeCell ref="AL21:AN21"/>
    <mergeCell ref="AO21:AQ21"/>
    <mergeCell ref="AR21:AT21"/>
    <mergeCell ref="AU21:AW21"/>
    <mergeCell ref="AL23:AN23"/>
    <mergeCell ref="AO23:AQ23"/>
    <mergeCell ref="AR23:AT23"/>
    <mergeCell ref="AU23:AW23"/>
    <mergeCell ref="AB37:AC37"/>
    <mergeCell ref="AB29:AC29"/>
    <mergeCell ref="AB28:AC28"/>
    <mergeCell ref="T30:V30"/>
    <mergeCell ref="Z30:AA30"/>
    <mergeCell ref="AB30:AC30"/>
    <mergeCell ref="AZ4:BT7"/>
    <mergeCell ref="AZ9:BT12"/>
    <mergeCell ref="AZ14:BT15"/>
    <mergeCell ref="V7:AW10"/>
    <mergeCell ref="AZ17:BT18"/>
    <mergeCell ref="AC12:AD12"/>
    <mergeCell ref="AI12:AJ12"/>
    <mergeCell ref="AJ21:AK21"/>
    <mergeCell ref="AJ23:AK23"/>
    <mergeCell ref="AO17:AQ17"/>
    <mergeCell ref="AR17:AT17"/>
    <mergeCell ref="AU17:AW17"/>
    <mergeCell ref="AL19:AN19"/>
    <mergeCell ref="AO19:AQ19"/>
    <mergeCell ref="AR19:AT19"/>
    <mergeCell ref="Z36:AA36"/>
    <mergeCell ref="Z37:AA37"/>
    <mergeCell ref="AL24:AN25"/>
    <mergeCell ref="Y19:AA19"/>
    <mergeCell ref="Y21:AA21"/>
    <mergeCell ref="Y23:AA23"/>
    <mergeCell ref="S14:T14"/>
    <mergeCell ref="N18:O18"/>
    <mergeCell ref="Y24:AA24"/>
    <mergeCell ref="G16:H16"/>
    <mergeCell ref="I16:M16"/>
    <mergeCell ref="N16:O16"/>
    <mergeCell ref="N14:O14"/>
    <mergeCell ref="D22:H22"/>
    <mergeCell ref="N21:O21"/>
    <mergeCell ref="P21:R21"/>
    <mergeCell ref="S21:U21"/>
    <mergeCell ref="D20:H20"/>
    <mergeCell ref="G21:H21"/>
    <mergeCell ref="J21:L21"/>
    <mergeCell ref="G23:H23"/>
    <mergeCell ref="J23:L23"/>
    <mergeCell ref="S23:U23"/>
    <mergeCell ref="AJ16:AK16"/>
    <mergeCell ref="AL15:AN15"/>
    <mergeCell ref="AO25:AQ25"/>
    <mergeCell ref="AR25:AT25"/>
    <mergeCell ref="AU25:AW25"/>
    <mergeCell ref="AL16:AN16"/>
    <mergeCell ref="AO16:AW16"/>
    <mergeCell ref="S19:U19"/>
    <mergeCell ref="S17:U17"/>
    <mergeCell ref="AJ17:AK17"/>
    <mergeCell ref="AJ18:AK18"/>
    <mergeCell ref="AJ19:AK19"/>
    <mergeCell ref="AL17:AN17"/>
    <mergeCell ref="V25:X25"/>
    <mergeCell ref="Y25:AA25"/>
    <mergeCell ref="S25:U25"/>
    <mergeCell ref="S16:AA16"/>
    <mergeCell ref="S24:U24"/>
    <mergeCell ref="V17:X17"/>
    <mergeCell ref="V19:X19"/>
    <mergeCell ref="V21:X21"/>
    <mergeCell ref="V23:X23"/>
    <mergeCell ref="V24:X24"/>
    <mergeCell ref="Y17:AA17"/>
    <mergeCell ref="AF2:AJ3"/>
    <mergeCell ref="AK2:AW3"/>
    <mergeCell ref="Z4:AA5"/>
    <mergeCell ref="AB4:AE5"/>
    <mergeCell ref="AJ4:AO4"/>
    <mergeCell ref="AT4:AW4"/>
    <mergeCell ref="B5:E5"/>
    <mergeCell ref="F5:M5"/>
    <mergeCell ref="O5:P5"/>
    <mergeCell ref="Q5:Y5"/>
    <mergeCell ref="AJ5:AO5"/>
    <mergeCell ref="AT5:AW5"/>
    <mergeCell ref="B2:Y4"/>
    <mergeCell ref="B27:B29"/>
    <mergeCell ref="N28:S28"/>
    <mergeCell ref="Z31:AA31"/>
    <mergeCell ref="Z32:AA32"/>
    <mergeCell ref="Z33:AA33"/>
    <mergeCell ref="C8:H9"/>
    <mergeCell ref="D15:M15"/>
    <mergeCell ref="G17:H17"/>
    <mergeCell ref="J17:L17"/>
    <mergeCell ref="N17:O17"/>
    <mergeCell ref="P17:R17"/>
    <mergeCell ref="G19:H19"/>
    <mergeCell ref="J19:L19"/>
    <mergeCell ref="N19:O19"/>
    <mergeCell ref="P19:R19"/>
    <mergeCell ref="D17:E17"/>
    <mergeCell ref="D19:E19"/>
    <mergeCell ref="P14:R14"/>
    <mergeCell ref="D14:G14"/>
    <mergeCell ref="B14:C24"/>
    <mergeCell ref="P16:R16"/>
    <mergeCell ref="P15:R15"/>
    <mergeCell ref="N23:O23"/>
    <mergeCell ref="P23:R23"/>
    <mergeCell ref="Z34:AA34"/>
    <mergeCell ref="Z35:AA35"/>
    <mergeCell ref="N31:O31"/>
    <mergeCell ref="P31:Q31"/>
    <mergeCell ref="R31:S31"/>
    <mergeCell ref="R33:S33"/>
    <mergeCell ref="W33:Y33"/>
    <mergeCell ref="AZ20:BT21"/>
    <mergeCell ref="R36:S36"/>
    <mergeCell ref="W36:Y36"/>
    <mergeCell ref="N29:O29"/>
    <mergeCell ref="P29:Q29"/>
    <mergeCell ref="R29:S29"/>
    <mergeCell ref="T29:V29"/>
    <mergeCell ref="W29:Y29"/>
    <mergeCell ref="Z29:AA29"/>
    <mergeCell ref="P33:Q33"/>
    <mergeCell ref="AB36:AC36"/>
    <mergeCell ref="AB27:AC27"/>
    <mergeCell ref="AO24:AQ24"/>
    <mergeCell ref="AR24:AT24"/>
    <mergeCell ref="AU24:AW24"/>
    <mergeCell ref="N37:O37"/>
    <mergeCell ref="P37:Q37"/>
    <mergeCell ref="R37:S37"/>
    <mergeCell ref="W37:Y37"/>
    <mergeCell ref="N36:O36"/>
    <mergeCell ref="P36:Q36"/>
    <mergeCell ref="T31:V37"/>
    <mergeCell ref="W31:Y31"/>
    <mergeCell ref="N32:O32"/>
    <mergeCell ref="P32:Q32"/>
    <mergeCell ref="R32:S32"/>
    <mergeCell ref="W32:Y32"/>
    <mergeCell ref="N35:O35"/>
    <mergeCell ref="P35:Q35"/>
    <mergeCell ref="R35:S35"/>
    <mergeCell ref="W35:Y35"/>
    <mergeCell ref="N34:O34"/>
    <mergeCell ref="P34:Q34"/>
    <mergeCell ref="R34:S34"/>
    <mergeCell ref="W34:Y34"/>
    <mergeCell ref="N33:O33"/>
  </mergeCells>
  <conditionalFormatting sqref="AB31:AB32">
    <cfRule type="cellIs" dxfId="56" priority="37" operator="lessThanOrEqual">
      <formula>0</formula>
    </cfRule>
  </conditionalFormatting>
  <conditionalFormatting sqref="F5:M5 Q5:Y5 AJ4:AO5">
    <cfRule type="cellIs" dxfId="55" priority="36" operator="equal">
      <formula>0</formula>
    </cfRule>
  </conditionalFormatting>
  <conditionalFormatting sqref="D20:R20 D21 F21:R21">
    <cfRule type="expression" dxfId="54" priority="35">
      <formula>$P$21=0</formula>
    </cfRule>
  </conditionalFormatting>
  <conditionalFormatting sqref="D22:R23">
    <cfRule type="expression" dxfId="53" priority="32">
      <formula>$P$23=0</formula>
    </cfRule>
  </conditionalFormatting>
  <conditionalFormatting sqref="S20:U21">
    <cfRule type="expression" dxfId="52" priority="27">
      <formula>$P$21=0</formula>
    </cfRule>
  </conditionalFormatting>
  <conditionalFormatting sqref="S22:U23">
    <cfRule type="expression" dxfId="51" priority="26">
      <formula>$P$23=0</formula>
    </cfRule>
  </conditionalFormatting>
  <conditionalFormatting sqref="V20:X21">
    <cfRule type="expression" dxfId="50" priority="25">
      <formula>$P$21=0</formula>
    </cfRule>
  </conditionalFormatting>
  <conditionalFormatting sqref="V22:X23">
    <cfRule type="expression" dxfId="49" priority="24">
      <formula>$P$23=0</formula>
    </cfRule>
  </conditionalFormatting>
  <conditionalFormatting sqref="Y20:AA21">
    <cfRule type="expression" dxfId="48" priority="21">
      <formula>$P$21=0</formula>
    </cfRule>
  </conditionalFormatting>
  <conditionalFormatting sqref="Y22:AA23">
    <cfRule type="expression" dxfId="47" priority="20">
      <formula>$P$23=0</formula>
    </cfRule>
  </conditionalFormatting>
  <conditionalFormatting sqref="AB33:AB37">
    <cfRule type="cellIs" dxfId="46" priority="18" operator="lessThanOrEqual">
      <formula>0</formula>
    </cfRule>
  </conditionalFormatting>
  <conditionalFormatting sqref="AB28">
    <cfRule type="cellIs" dxfId="45" priority="17" operator="lessThanOrEqual">
      <formula>0</formula>
    </cfRule>
  </conditionalFormatting>
  <conditionalFormatting sqref="AJ20:AK21">
    <cfRule type="expression" dxfId="44" priority="16">
      <formula>$P$21=0</formula>
    </cfRule>
  </conditionalFormatting>
  <conditionalFormatting sqref="AJ22:AK23">
    <cfRule type="expression" dxfId="43" priority="15">
      <formula>$P$23=0</formula>
    </cfRule>
  </conditionalFormatting>
  <conditionalFormatting sqref="AL20:AN21">
    <cfRule type="expression" dxfId="42" priority="14">
      <formula>$P$21=0</formula>
    </cfRule>
  </conditionalFormatting>
  <conditionalFormatting sqref="AL22:AN23">
    <cfRule type="expression" dxfId="41" priority="13">
      <formula>$P$23=0</formula>
    </cfRule>
  </conditionalFormatting>
  <conditionalFormatting sqref="AO20:AQ21">
    <cfRule type="expression" dxfId="40" priority="12">
      <formula>$P$21=0</formula>
    </cfRule>
  </conditionalFormatting>
  <conditionalFormatting sqref="AO22:AQ23">
    <cfRule type="expression" dxfId="39" priority="11">
      <formula>$P$23=0</formula>
    </cfRule>
  </conditionalFormatting>
  <conditionalFormatting sqref="AR20:AT21">
    <cfRule type="expression" dxfId="38" priority="10">
      <formula>$P$21=0</formula>
    </cfRule>
  </conditionalFormatting>
  <conditionalFormatting sqref="AR22:AT23">
    <cfRule type="expression" dxfId="37" priority="9">
      <formula>$P$23=0</formula>
    </cfRule>
  </conditionalFormatting>
  <conditionalFormatting sqref="AU20:AW21">
    <cfRule type="expression" dxfId="36" priority="8">
      <formula>$P$21=0</formula>
    </cfRule>
  </conditionalFormatting>
  <conditionalFormatting sqref="AU22:AW23">
    <cfRule type="expression" dxfId="35" priority="7">
      <formula>$P$23=0</formula>
    </cfRule>
  </conditionalFormatting>
  <conditionalFormatting sqref="AB30">
    <cfRule type="cellIs" dxfId="34" priority="5" operator="lessThanOrEqual">
      <formula>0</formula>
    </cfRule>
  </conditionalFormatting>
  <conditionalFormatting sqref="T31:V37">
    <cfRule type="cellIs" dxfId="33" priority="2" operator="equal">
      <formula>0</formula>
    </cfRule>
    <cfRule type="cellIs" dxfId="32" priority="3102" operator="notBetween">
      <formula>$AC$12</formula>
      <formula>$AI$12</formula>
    </cfRule>
  </conditionalFormatting>
  <conditionalFormatting sqref="T30:Y30">
    <cfRule type="cellIs" dxfId="31" priority="4" operator="equal">
      <formula>0</formula>
    </cfRule>
  </conditionalFormatting>
  <conditionalFormatting sqref="Z30:AA30">
    <cfRule type="cellIs" dxfId="30" priority="3" operator="equal">
      <formula>0</formula>
    </cfRule>
  </conditionalFormatting>
  <conditionalFormatting sqref="I25:L25">
    <cfRule type="cellIs" dxfId="29" priority="1" operator="equal">
      <formula>0</formula>
    </cfRule>
  </conditionalFormatting>
  <printOptions horizontalCentered="1" verticalCentered="1"/>
  <pageMargins left="0.59055118110236227" right="0.59055118110236227" top="0.78740157480314965"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A126"/>
  <sheetViews>
    <sheetView showGridLines="0" zoomScale="120" zoomScaleNormal="120" zoomScaleSheetLayoutView="110" workbookViewId="0">
      <selection activeCell="AC12" sqref="AC12:AD12"/>
    </sheetView>
  </sheetViews>
  <sheetFormatPr baseColWidth="10" defaultColWidth="2.6640625" defaultRowHeight="13.5" customHeight="1"/>
  <cols>
    <col min="1" max="1" width="2.6640625" style="68"/>
    <col min="2" max="50" width="2.6640625" style="68" customWidth="1"/>
    <col min="51" max="52" width="2.6640625" style="68"/>
    <col min="53" max="53" width="2.6640625" style="71"/>
    <col min="54" max="57" width="2.6640625" style="70"/>
    <col min="58" max="58" width="3" style="70" bestFit="1" customWidth="1"/>
    <col min="59" max="59" width="2.6640625" style="70"/>
    <col min="60" max="60" width="3" style="70" bestFit="1" customWidth="1"/>
    <col min="61" max="61" width="2.6640625" style="70"/>
    <col min="62" max="62" width="5.109375" style="70" bestFit="1" customWidth="1"/>
    <col min="63" max="66" width="2.6640625" style="70"/>
    <col min="67" max="90" width="2.6640625" style="69"/>
    <col min="91" max="16384" width="2.6640625" style="68"/>
  </cols>
  <sheetData>
    <row r="1" spans="2:131" ht="13.5" customHeight="1">
      <c r="AY1" s="73"/>
      <c r="AZ1" s="69"/>
      <c r="BA1" s="70"/>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row>
    <row r="2" spans="2:131" ht="13.5" customHeight="1">
      <c r="B2" s="682" t="s">
        <v>259</v>
      </c>
      <c r="C2" s="1249"/>
      <c r="D2" s="1249"/>
      <c r="E2" s="1249"/>
      <c r="F2" s="1249"/>
      <c r="G2" s="1249"/>
      <c r="H2" s="1249"/>
      <c r="I2" s="1249"/>
      <c r="J2" s="1249"/>
      <c r="K2" s="1249"/>
      <c r="L2" s="1249"/>
      <c r="M2" s="1249"/>
      <c r="N2" s="1249"/>
      <c r="O2" s="1249"/>
      <c r="P2" s="1249"/>
      <c r="Q2" s="1249"/>
      <c r="R2" s="1249"/>
      <c r="S2" s="1249"/>
      <c r="T2" s="1249"/>
      <c r="U2" s="1249"/>
      <c r="V2" s="1249"/>
      <c r="W2" s="1249"/>
      <c r="X2" s="1249"/>
      <c r="Y2" s="1250"/>
      <c r="Z2" s="1"/>
      <c r="AA2" s="2"/>
      <c r="AB2" s="2"/>
      <c r="AC2" s="3"/>
      <c r="AD2" s="3"/>
      <c r="AE2" s="4"/>
      <c r="AF2" s="1453" t="s">
        <v>220</v>
      </c>
      <c r="AG2" s="1454"/>
      <c r="AH2" s="1454"/>
      <c r="AI2" s="1454"/>
      <c r="AJ2" s="1455"/>
      <c r="AK2" s="1213" t="s">
        <v>89</v>
      </c>
      <c r="AL2" s="1213"/>
      <c r="AM2" s="1213"/>
      <c r="AN2" s="1213"/>
      <c r="AO2" s="1213"/>
      <c r="AP2" s="1213"/>
      <c r="AQ2" s="1213"/>
      <c r="AR2" s="1213"/>
      <c r="AS2" s="1213"/>
      <c r="AT2" s="1213"/>
      <c r="AU2" s="1213"/>
      <c r="AV2" s="1213"/>
      <c r="AW2" s="1214"/>
      <c r="AY2" s="69"/>
      <c r="AZ2" s="422" t="s">
        <v>260</v>
      </c>
      <c r="BA2" s="670" t="s">
        <v>262</v>
      </c>
      <c r="BB2" s="665"/>
      <c r="BC2" s="423"/>
      <c r="BD2" s="423"/>
      <c r="BE2" s="423"/>
      <c r="BF2" s="423"/>
      <c r="BG2" s="423"/>
      <c r="BH2" s="423"/>
      <c r="BI2" s="423"/>
      <c r="BJ2" s="423"/>
      <c r="BK2" s="423"/>
      <c r="BL2" s="423"/>
      <c r="BM2" s="423"/>
      <c r="BN2" s="423"/>
      <c r="BO2" s="424"/>
      <c r="BP2" s="424"/>
      <c r="BQ2" s="424"/>
      <c r="BR2" s="424"/>
      <c r="BS2" s="424"/>
      <c r="BT2" s="425"/>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row>
    <row r="3" spans="2:131" ht="13.5" customHeight="1">
      <c r="B3" s="1251"/>
      <c r="C3" s="1252"/>
      <c r="D3" s="1252"/>
      <c r="E3" s="1252"/>
      <c r="F3" s="1252"/>
      <c r="G3" s="1252"/>
      <c r="H3" s="1252"/>
      <c r="I3" s="1252"/>
      <c r="J3" s="1252"/>
      <c r="K3" s="1252"/>
      <c r="L3" s="1252"/>
      <c r="M3" s="1252"/>
      <c r="N3" s="1252"/>
      <c r="O3" s="1252"/>
      <c r="P3" s="1252"/>
      <c r="Q3" s="1252"/>
      <c r="R3" s="1252"/>
      <c r="S3" s="1252"/>
      <c r="T3" s="1252"/>
      <c r="U3" s="1252"/>
      <c r="V3" s="1252"/>
      <c r="W3" s="1252"/>
      <c r="X3" s="1252"/>
      <c r="Y3" s="1253"/>
      <c r="Z3" s="5"/>
      <c r="AA3" s="6"/>
      <c r="AB3" s="118" t="s">
        <v>189</v>
      </c>
      <c r="AC3" s="7"/>
      <c r="AD3" s="7"/>
      <c r="AE3" s="8"/>
      <c r="AF3" s="1456"/>
      <c r="AG3" s="1457"/>
      <c r="AH3" s="1457"/>
      <c r="AI3" s="1457"/>
      <c r="AJ3" s="1458"/>
      <c r="AK3" s="1215"/>
      <c r="AL3" s="1215"/>
      <c r="AM3" s="1215"/>
      <c r="AN3" s="1215"/>
      <c r="AO3" s="1215"/>
      <c r="AP3" s="1215"/>
      <c r="AQ3" s="1215"/>
      <c r="AR3" s="1215"/>
      <c r="AS3" s="1215"/>
      <c r="AT3" s="1215"/>
      <c r="AU3" s="1215"/>
      <c r="AV3" s="1215"/>
      <c r="AW3" s="1216"/>
      <c r="AY3" s="69"/>
      <c r="AZ3" s="426"/>
      <c r="BA3" s="671" t="s">
        <v>261</v>
      </c>
      <c r="BB3" s="666"/>
      <c r="BC3" s="72"/>
      <c r="BD3" s="72"/>
      <c r="BE3" s="72"/>
      <c r="BF3" s="72"/>
      <c r="BG3" s="72"/>
      <c r="BH3" s="72"/>
      <c r="BI3" s="72"/>
      <c r="BJ3" s="72"/>
      <c r="BK3" s="72"/>
      <c r="BL3" s="72"/>
      <c r="BM3" s="72"/>
      <c r="BN3" s="72"/>
      <c r="BO3" s="73"/>
      <c r="BP3" s="73"/>
      <c r="BQ3" s="73"/>
      <c r="BR3" s="73"/>
      <c r="BS3" s="73"/>
      <c r="BT3" s="427"/>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row>
    <row r="4" spans="2:131" ht="13.5" customHeight="1">
      <c r="B4" s="1254"/>
      <c r="C4" s="1255"/>
      <c r="D4" s="1255"/>
      <c r="E4" s="1255"/>
      <c r="F4" s="1255"/>
      <c r="G4" s="1255"/>
      <c r="H4" s="1255"/>
      <c r="I4" s="1255"/>
      <c r="J4" s="1255"/>
      <c r="K4" s="1255"/>
      <c r="L4" s="1255"/>
      <c r="M4" s="1255"/>
      <c r="N4" s="1255"/>
      <c r="O4" s="1255"/>
      <c r="P4" s="1255"/>
      <c r="Q4" s="1255"/>
      <c r="R4" s="1255"/>
      <c r="S4" s="1255"/>
      <c r="T4" s="1255"/>
      <c r="U4" s="1255"/>
      <c r="V4" s="1255"/>
      <c r="W4" s="1255"/>
      <c r="X4" s="1255"/>
      <c r="Y4" s="1256"/>
      <c r="Z4" s="722"/>
      <c r="AA4" s="723"/>
      <c r="AB4" s="726"/>
      <c r="AC4" s="726"/>
      <c r="AD4" s="726"/>
      <c r="AE4" s="727"/>
      <c r="AF4" s="14"/>
      <c r="AG4" s="103"/>
      <c r="AH4" s="104"/>
      <c r="AI4" s="105" t="s">
        <v>52</v>
      </c>
      <c r="AJ4" s="1217">
        <f>'TWW-DIM'!AI3</f>
        <v>0</v>
      </c>
      <c r="AK4" s="1217"/>
      <c r="AL4" s="1217"/>
      <c r="AM4" s="1217"/>
      <c r="AN4" s="1217"/>
      <c r="AO4" s="1218"/>
      <c r="AP4" s="106"/>
      <c r="AQ4" s="106"/>
      <c r="AS4" s="107" t="s">
        <v>0</v>
      </c>
      <c r="AT4" s="1219">
        <f>'TWW-DIM'!AR3</f>
        <v>0</v>
      </c>
      <c r="AU4" s="1219"/>
      <c r="AV4" s="1219"/>
      <c r="AW4" s="1220"/>
      <c r="AY4" s="69"/>
      <c r="AZ4" s="1221" t="s">
        <v>60</v>
      </c>
      <c r="BA4" s="1222"/>
      <c r="BB4" s="1222"/>
      <c r="BC4" s="1222"/>
      <c r="BD4" s="1222"/>
      <c r="BE4" s="1222"/>
      <c r="BF4" s="1222"/>
      <c r="BG4" s="1222"/>
      <c r="BH4" s="1222"/>
      <c r="BI4" s="1222"/>
      <c r="BJ4" s="1222"/>
      <c r="BK4" s="1222"/>
      <c r="BL4" s="1222"/>
      <c r="BM4" s="1222"/>
      <c r="BN4" s="1222"/>
      <c r="BO4" s="1222"/>
      <c r="BP4" s="1222"/>
      <c r="BQ4" s="1222"/>
      <c r="BR4" s="1222"/>
      <c r="BS4" s="1222"/>
      <c r="BT4" s="1223"/>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row>
    <row r="5" spans="2:131" ht="13.5" customHeight="1" thickBot="1">
      <c r="B5" s="704" t="s">
        <v>88</v>
      </c>
      <c r="C5" s="705"/>
      <c r="D5" s="705"/>
      <c r="E5" s="705"/>
      <c r="F5" s="1224">
        <f>'TWW-DIM'!E4</f>
        <v>0</v>
      </c>
      <c r="G5" s="1224"/>
      <c r="H5" s="1224"/>
      <c r="I5" s="1224"/>
      <c r="J5" s="1224"/>
      <c r="K5" s="1224"/>
      <c r="L5" s="1224"/>
      <c r="M5" s="1224"/>
      <c r="N5" s="101"/>
      <c r="O5" s="1225" t="s">
        <v>87</v>
      </c>
      <c r="P5" s="1225"/>
      <c r="Q5" s="1224">
        <f>'TWW-DIM'!P4</f>
        <v>0</v>
      </c>
      <c r="R5" s="1224"/>
      <c r="S5" s="1224"/>
      <c r="T5" s="1224"/>
      <c r="U5" s="1224"/>
      <c r="V5" s="1224"/>
      <c r="W5" s="1224"/>
      <c r="X5" s="1224"/>
      <c r="Y5" s="1226"/>
      <c r="Z5" s="724"/>
      <c r="AA5" s="725"/>
      <c r="AB5" s="728"/>
      <c r="AC5" s="728"/>
      <c r="AD5" s="728"/>
      <c r="AE5" s="729"/>
      <c r="AF5" s="102"/>
      <c r="AG5" s="108"/>
      <c r="AH5" s="109"/>
      <c r="AI5" s="110" t="s">
        <v>53</v>
      </c>
      <c r="AJ5" s="1227">
        <f>'TWW-DIM'!AI4</f>
        <v>0</v>
      </c>
      <c r="AK5" s="1227"/>
      <c r="AL5" s="1227"/>
      <c r="AM5" s="1227"/>
      <c r="AN5" s="1227"/>
      <c r="AO5" s="1228"/>
      <c r="AP5" s="111"/>
      <c r="AQ5" s="112"/>
      <c r="AR5" s="113"/>
      <c r="AS5" s="114" t="s">
        <v>1</v>
      </c>
      <c r="AT5" s="1229">
        <f>'TWW-DIM'!AR4</f>
        <v>0</v>
      </c>
      <c r="AU5" s="1229"/>
      <c r="AV5" s="1229"/>
      <c r="AW5" s="1230"/>
      <c r="AY5" s="69"/>
      <c r="AZ5" s="1221"/>
      <c r="BA5" s="1222"/>
      <c r="BB5" s="1222"/>
      <c r="BC5" s="1222"/>
      <c r="BD5" s="1222"/>
      <c r="BE5" s="1222"/>
      <c r="BF5" s="1222"/>
      <c r="BG5" s="1222"/>
      <c r="BH5" s="1222"/>
      <c r="BI5" s="1222"/>
      <c r="BJ5" s="1222"/>
      <c r="BK5" s="1222"/>
      <c r="BL5" s="1222"/>
      <c r="BM5" s="1222"/>
      <c r="BN5" s="1222"/>
      <c r="BO5" s="1222"/>
      <c r="BP5" s="1222"/>
      <c r="BQ5" s="1222"/>
      <c r="BR5" s="1222"/>
      <c r="BS5" s="1222"/>
      <c r="BT5" s="1223"/>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row>
    <row r="6" spans="2:131" s="74" customFormat="1" ht="13.5" customHeight="1" thickTop="1">
      <c r="B6" s="407"/>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409"/>
      <c r="AX6" s="68"/>
      <c r="AY6" s="69"/>
      <c r="AZ6" s="1221"/>
      <c r="BA6" s="1222"/>
      <c r="BB6" s="1222"/>
      <c r="BC6" s="1222"/>
      <c r="BD6" s="1222"/>
      <c r="BE6" s="1222"/>
      <c r="BF6" s="1222"/>
      <c r="BG6" s="1222"/>
      <c r="BH6" s="1222"/>
      <c r="BI6" s="1222"/>
      <c r="BJ6" s="1222"/>
      <c r="BK6" s="1222"/>
      <c r="BL6" s="1222"/>
      <c r="BM6" s="1222"/>
      <c r="BN6" s="1222"/>
      <c r="BO6" s="1222"/>
      <c r="BP6" s="1222"/>
      <c r="BQ6" s="1222"/>
      <c r="BR6" s="1222"/>
      <c r="BS6" s="1222"/>
      <c r="BT6" s="1223"/>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row>
    <row r="7" spans="2:131" s="74" customFormat="1" ht="13.5" customHeight="1" thickBot="1">
      <c r="B7" s="398"/>
      <c r="C7" s="98"/>
      <c r="D7" s="98"/>
      <c r="E7" s="98"/>
      <c r="F7" s="98"/>
      <c r="G7" s="98"/>
      <c r="H7" s="98"/>
      <c r="I7" s="98"/>
      <c r="J7" s="399" t="s">
        <v>66</v>
      </c>
      <c r="K7" s="400" t="s">
        <v>8</v>
      </c>
      <c r="L7" s="98" t="s">
        <v>84</v>
      </c>
      <c r="M7" s="98"/>
      <c r="N7" s="98"/>
      <c r="O7" s="98"/>
      <c r="P7" s="98"/>
      <c r="Q7" s="98"/>
      <c r="R7" s="98" t="s">
        <v>80</v>
      </c>
      <c r="S7" s="401"/>
      <c r="T7" s="402"/>
      <c r="V7" s="1231" t="s">
        <v>192</v>
      </c>
      <c r="W7" s="1232"/>
      <c r="X7" s="1232"/>
      <c r="Y7" s="1232"/>
      <c r="Z7" s="1232"/>
      <c r="AA7" s="1232"/>
      <c r="AB7" s="1232"/>
      <c r="AC7" s="1232"/>
      <c r="AD7" s="1232"/>
      <c r="AE7" s="1232"/>
      <c r="AF7" s="1232"/>
      <c r="AG7" s="1232"/>
      <c r="AH7" s="1232"/>
      <c r="AI7" s="1232"/>
      <c r="AJ7" s="1232"/>
      <c r="AK7" s="1232"/>
      <c r="AL7" s="1232"/>
      <c r="AM7" s="1232"/>
      <c r="AN7" s="1232"/>
      <c r="AO7" s="1232"/>
      <c r="AP7" s="1232"/>
      <c r="AQ7" s="1232"/>
      <c r="AR7" s="1232"/>
      <c r="AS7" s="1232"/>
      <c r="AT7" s="1232"/>
      <c r="AU7" s="1232"/>
      <c r="AV7" s="1232"/>
      <c r="AW7" s="1233"/>
      <c r="AX7" s="68"/>
      <c r="AY7" s="69"/>
      <c r="AZ7" s="1221"/>
      <c r="BA7" s="1222"/>
      <c r="BB7" s="1222"/>
      <c r="BC7" s="1222"/>
      <c r="BD7" s="1222"/>
      <c r="BE7" s="1222"/>
      <c r="BF7" s="1222"/>
      <c r="BG7" s="1222"/>
      <c r="BH7" s="1222"/>
      <c r="BI7" s="1222"/>
      <c r="BJ7" s="1222"/>
      <c r="BK7" s="1222"/>
      <c r="BL7" s="1222"/>
      <c r="BM7" s="1222"/>
      <c r="BN7" s="1222"/>
      <c r="BO7" s="1222"/>
      <c r="BP7" s="1222"/>
      <c r="BQ7" s="1222"/>
      <c r="BR7" s="1222"/>
      <c r="BS7" s="1222"/>
      <c r="BT7" s="1223"/>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row>
    <row r="8" spans="2:131" s="74" customFormat="1" ht="13.5" customHeight="1">
      <c r="B8" s="80"/>
      <c r="C8" s="1240" t="s">
        <v>85</v>
      </c>
      <c r="D8" s="1241"/>
      <c r="E8" s="1241"/>
      <c r="F8" s="1241"/>
      <c r="G8" s="1241"/>
      <c r="H8" s="1242"/>
      <c r="I8" s="79"/>
      <c r="J8" s="376" t="s">
        <v>74</v>
      </c>
      <c r="K8" s="377" t="s">
        <v>8</v>
      </c>
      <c r="L8" s="87" t="s">
        <v>81</v>
      </c>
      <c r="M8" s="87"/>
      <c r="N8" s="87"/>
      <c r="O8" s="87"/>
      <c r="P8" s="87"/>
      <c r="Q8" s="87"/>
      <c r="R8" s="87"/>
      <c r="S8" s="87" t="s">
        <v>80</v>
      </c>
      <c r="T8" s="86"/>
      <c r="V8" s="1234"/>
      <c r="W8" s="1235"/>
      <c r="X8" s="1235"/>
      <c r="Y8" s="1235"/>
      <c r="Z8" s="1235"/>
      <c r="AA8" s="1235"/>
      <c r="AB8" s="1235"/>
      <c r="AC8" s="1235"/>
      <c r="AD8" s="1235"/>
      <c r="AE8" s="1235"/>
      <c r="AF8" s="1235"/>
      <c r="AG8" s="1235"/>
      <c r="AH8" s="1235"/>
      <c r="AI8" s="1235"/>
      <c r="AJ8" s="1235"/>
      <c r="AK8" s="1235"/>
      <c r="AL8" s="1235"/>
      <c r="AM8" s="1235"/>
      <c r="AN8" s="1235"/>
      <c r="AO8" s="1235"/>
      <c r="AP8" s="1235"/>
      <c r="AQ8" s="1235"/>
      <c r="AR8" s="1235"/>
      <c r="AS8" s="1235"/>
      <c r="AT8" s="1235"/>
      <c r="AU8" s="1235"/>
      <c r="AV8" s="1235"/>
      <c r="AW8" s="1236"/>
      <c r="AX8" s="68"/>
      <c r="AY8" s="69"/>
      <c r="AZ8" s="668"/>
      <c r="BA8" s="658"/>
      <c r="BB8" s="658"/>
      <c r="BC8" s="658"/>
      <c r="BD8" s="658"/>
      <c r="BE8" s="658"/>
      <c r="BF8" s="658"/>
      <c r="BG8" s="658"/>
      <c r="BH8" s="658"/>
      <c r="BI8" s="658"/>
      <c r="BJ8" s="658"/>
      <c r="BK8" s="658"/>
      <c r="BL8" s="658"/>
      <c r="BM8" s="658"/>
      <c r="BN8" s="658"/>
      <c r="BO8" s="659"/>
      <c r="BP8" s="659"/>
      <c r="BQ8" s="659"/>
      <c r="BR8" s="659"/>
      <c r="BS8" s="659"/>
      <c r="BT8" s="6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row>
    <row r="9" spans="2:131" s="74" customFormat="1" ht="13.5" customHeight="1" thickBot="1">
      <c r="B9" s="80"/>
      <c r="C9" s="1243"/>
      <c r="D9" s="1244"/>
      <c r="E9" s="1244"/>
      <c r="F9" s="1244"/>
      <c r="G9" s="1244"/>
      <c r="H9" s="1245"/>
      <c r="I9" s="100"/>
      <c r="J9" s="378"/>
      <c r="K9" s="379"/>
      <c r="L9" s="380" t="s">
        <v>78</v>
      </c>
      <c r="M9" s="94"/>
      <c r="N9" s="94"/>
      <c r="O9" s="94"/>
      <c r="P9" s="94"/>
      <c r="Q9" s="94"/>
      <c r="R9" s="94"/>
      <c r="S9" s="94"/>
      <c r="T9" s="92"/>
      <c r="V9" s="1234"/>
      <c r="W9" s="1235"/>
      <c r="X9" s="1235"/>
      <c r="Y9" s="1235"/>
      <c r="Z9" s="1235"/>
      <c r="AA9" s="1235"/>
      <c r="AB9" s="1235"/>
      <c r="AC9" s="1235"/>
      <c r="AD9" s="1235"/>
      <c r="AE9" s="1235"/>
      <c r="AF9" s="1235"/>
      <c r="AG9" s="1235"/>
      <c r="AH9" s="1235"/>
      <c r="AI9" s="1235"/>
      <c r="AJ9" s="1235"/>
      <c r="AK9" s="1235"/>
      <c r="AL9" s="1235"/>
      <c r="AM9" s="1235"/>
      <c r="AN9" s="1235"/>
      <c r="AO9" s="1235"/>
      <c r="AP9" s="1235"/>
      <c r="AQ9" s="1235"/>
      <c r="AR9" s="1235"/>
      <c r="AS9" s="1235"/>
      <c r="AT9" s="1235"/>
      <c r="AU9" s="1235"/>
      <c r="AV9" s="1235"/>
      <c r="AW9" s="1236"/>
      <c r="AX9" s="68"/>
      <c r="AY9" s="69"/>
      <c r="AZ9" s="1221" t="s">
        <v>255</v>
      </c>
      <c r="BA9" s="1222"/>
      <c r="BB9" s="1222"/>
      <c r="BC9" s="1222"/>
      <c r="BD9" s="1222"/>
      <c r="BE9" s="1222"/>
      <c r="BF9" s="1222"/>
      <c r="BG9" s="1222"/>
      <c r="BH9" s="1222"/>
      <c r="BI9" s="1222"/>
      <c r="BJ9" s="1222"/>
      <c r="BK9" s="1222"/>
      <c r="BL9" s="1222"/>
      <c r="BM9" s="1222"/>
      <c r="BN9" s="1222"/>
      <c r="BO9" s="1222"/>
      <c r="BP9" s="1222"/>
      <c r="BQ9" s="1222"/>
      <c r="BR9" s="1222"/>
      <c r="BS9" s="1222"/>
      <c r="BT9" s="1223"/>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row>
    <row r="10" spans="2:131" s="74" customFormat="1" ht="13.5" customHeight="1">
      <c r="B10" s="80"/>
      <c r="C10" s="79"/>
      <c r="D10" s="79"/>
      <c r="E10" s="79"/>
      <c r="F10" s="79"/>
      <c r="G10" s="79"/>
      <c r="H10" s="79"/>
      <c r="I10" s="79"/>
      <c r="J10" s="96" t="s">
        <v>77</v>
      </c>
      <c r="K10" s="96"/>
      <c r="L10" s="95" t="s">
        <v>8</v>
      </c>
      <c r="M10" s="79" t="s">
        <v>71</v>
      </c>
      <c r="N10" s="79"/>
      <c r="O10" s="79"/>
      <c r="P10" s="79"/>
      <c r="Q10" s="79"/>
      <c r="R10" s="79"/>
      <c r="S10" s="79"/>
      <c r="T10" s="78"/>
      <c r="V10" s="1237"/>
      <c r="W10" s="1238"/>
      <c r="X10" s="1238"/>
      <c r="Y10" s="1238"/>
      <c r="Z10" s="1238"/>
      <c r="AA10" s="1238"/>
      <c r="AB10" s="1238"/>
      <c r="AC10" s="1238"/>
      <c r="AD10" s="1238"/>
      <c r="AE10" s="1238"/>
      <c r="AF10" s="1238"/>
      <c r="AG10" s="1238"/>
      <c r="AH10" s="1238"/>
      <c r="AI10" s="1238"/>
      <c r="AJ10" s="1238"/>
      <c r="AK10" s="1238"/>
      <c r="AL10" s="1238"/>
      <c r="AM10" s="1238"/>
      <c r="AN10" s="1238"/>
      <c r="AO10" s="1238"/>
      <c r="AP10" s="1238"/>
      <c r="AQ10" s="1238"/>
      <c r="AR10" s="1238"/>
      <c r="AS10" s="1238"/>
      <c r="AT10" s="1238"/>
      <c r="AU10" s="1238"/>
      <c r="AV10" s="1238"/>
      <c r="AW10" s="1239"/>
      <c r="AX10" s="68"/>
      <c r="AY10" s="69"/>
      <c r="AZ10" s="1221"/>
      <c r="BA10" s="1222"/>
      <c r="BB10" s="1222"/>
      <c r="BC10" s="1222"/>
      <c r="BD10" s="1222"/>
      <c r="BE10" s="1222"/>
      <c r="BF10" s="1222"/>
      <c r="BG10" s="1222"/>
      <c r="BH10" s="1222"/>
      <c r="BI10" s="1222"/>
      <c r="BJ10" s="1222"/>
      <c r="BK10" s="1222"/>
      <c r="BL10" s="1222"/>
      <c r="BM10" s="1222"/>
      <c r="BN10" s="1222"/>
      <c r="BO10" s="1222"/>
      <c r="BP10" s="1222"/>
      <c r="BQ10" s="1222"/>
      <c r="BR10" s="1222"/>
      <c r="BS10" s="1222"/>
      <c r="BT10" s="1223"/>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row>
    <row r="11" spans="2:131" s="74" customFormat="1" ht="13.5" customHeight="1" thickBot="1">
      <c r="B11" s="403"/>
      <c r="C11" s="96"/>
      <c r="D11" s="79"/>
      <c r="E11" s="79"/>
      <c r="F11" s="79"/>
      <c r="G11" s="79"/>
      <c r="H11" s="79"/>
      <c r="I11" s="79"/>
      <c r="J11" s="79"/>
      <c r="K11" s="79"/>
      <c r="L11" s="79"/>
      <c r="M11" s="91" t="s">
        <v>76</v>
      </c>
      <c r="N11" s="79"/>
      <c r="O11" s="79"/>
      <c r="P11" s="79"/>
      <c r="Q11" s="79"/>
      <c r="R11" s="79"/>
      <c r="S11" s="79"/>
      <c r="T11" s="78"/>
      <c r="V11" s="374"/>
      <c r="W11" s="374"/>
      <c r="X11" s="374"/>
      <c r="Y11" s="374"/>
      <c r="Z11" s="374"/>
      <c r="AW11" s="409"/>
      <c r="AX11" s="68"/>
      <c r="AY11" s="69"/>
      <c r="AZ11" s="1221"/>
      <c r="BA11" s="1222"/>
      <c r="BB11" s="1222"/>
      <c r="BC11" s="1222"/>
      <c r="BD11" s="1222"/>
      <c r="BE11" s="1222"/>
      <c r="BF11" s="1222"/>
      <c r="BG11" s="1222"/>
      <c r="BH11" s="1222"/>
      <c r="BI11" s="1222"/>
      <c r="BJ11" s="1222"/>
      <c r="BK11" s="1222"/>
      <c r="BL11" s="1222"/>
      <c r="BM11" s="1222"/>
      <c r="BN11" s="1222"/>
      <c r="BO11" s="1222"/>
      <c r="BP11" s="1222"/>
      <c r="BQ11" s="1222"/>
      <c r="BR11" s="1222"/>
      <c r="BS11" s="1222"/>
      <c r="BT11" s="1223"/>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row>
    <row r="12" spans="2:131" s="74" customFormat="1" ht="13.5" customHeight="1" thickBot="1">
      <c r="B12" s="392" t="s">
        <v>202</v>
      </c>
      <c r="C12" s="404"/>
      <c r="D12" s="404"/>
      <c r="E12" s="404"/>
      <c r="F12" s="404"/>
      <c r="G12" s="404"/>
      <c r="H12" s="404"/>
      <c r="I12" s="404"/>
      <c r="J12" s="404"/>
      <c r="K12" s="404"/>
      <c r="L12" s="404"/>
      <c r="M12" s="404"/>
      <c r="N12" s="404"/>
      <c r="O12" s="404"/>
      <c r="P12" s="404"/>
      <c r="Q12" s="404"/>
      <c r="R12" s="404"/>
      <c r="S12" s="404"/>
      <c r="T12" s="404"/>
      <c r="U12" s="385"/>
      <c r="V12" s="404"/>
      <c r="W12" s="404"/>
      <c r="X12" s="404"/>
      <c r="Y12" s="404"/>
      <c r="Z12" s="404"/>
      <c r="AA12" s="385"/>
      <c r="AB12" s="405"/>
      <c r="AC12" s="1246">
        <v>0.2</v>
      </c>
      <c r="AD12" s="1247"/>
      <c r="AE12" s="89" t="s">
        <v>73</v>
      </c>
      <c r="AF12" s="89" t="s">
        <v>75</v>
      </c>
      <c r="AG12" s="90" t="s">
        <v>74</v>
      </c>
      <c r="AH12" s="89" t="s">
        <v>73</v>
      </c>
      <c r="AI12" s="1247">
        <v>500</v>
      </c>
      <c r="AJ12" s="1248"/>
      <c r="AK12" s="406" t="s">
        <v>203</v>
      </c>
      <c r="AL12" s="385"/>
      <c r="AM12" s="385"/>
      <c r="AN12" s="385"/>
      <c r="AO12" s="385"/>
      <c r="AP12" s="385"/>
      <c r="AQ12" s="385"/>
      <c r="AR12" s="385"/>
      <c r="AS12" s="385"/>
      <c r="AT12" s="385"/>
      <c r="AU12" s="385"/>
      <c r="AV12" s="385"/>
      <c r="AW12" s="393"/>
      <c r="AX12" s="68"/>
      <c r="AY12" s="69"/>
      <c r="AZ12" s="1221"/>
      <c r="BA12" s="1222"/>
      <c r="BB12" s="1222"/>
      <c r="BC12" s="1222"/>
      <c r="BD12" s="1222"/>
      <c r="BE12" s="1222"/>
      <c r="BF12" s="1222"/>
      <c r="BG12" s="1222"/>
      <c r="BH12" s="1222"/>
      <c r="BI12" s="1222"/>
      <c r="BJ12" s="1222"/>
      <c r="BK12" s="1222"/>
      <c r="BL12" s="1222"/>
      <c r="BM12" s="1222"/>
      <c r="BN12" s="1222"/>
      <c r="BO12" s="1222"/>
      <c r="BP12" s="1222"/>
      <c r="BQ12" s="1222"/>
      <c r="BR12" s="1222"/>
      <c r="BS12" s="1222"/>
      <c r="BT12" s="1223"/>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row>
    <row r="13" spans="2:131" s="74" customFormat="1" ht="13.5" customHeight="1">
      <c r="B13" s="408"/>
      <c r="C13" s="374"/>
      <c r="D13" s="374"/>
      <c r="E13" s="374"/>
      <c r="F13" s="374"/>
      <c r="G13" s="374"/>
      <c r="H13" s="374"/>
      <c r="I13" s="374"/>
      <c r="J13" s="374"/>
      <c r="K13" s="374"/>
      <c r="L13" s="374"/>
      <c r="M13" s="374"/>
      <c r="N13" s="374"/>
      <c r="O13" s="374"/>
      <c r="P13" s="375"/>
      <c r="Q13" s="374"/>
      <c r="R13" s="374"/>
      <c r="S13" s="374"/>
      <c r="T13" s="374"/>
      <c r="V13" s="374"/>
      <c r="W13" s="374"/>
      <c r="X13" s="374"/>
      <c r="Y13" s="374"/>
      <c r="Z13" s="374"/>
      <c r="AW13" s="387"/>
      <c r="AX13" s="68"/>
      <c r="AY13" s="69"/>
      <c r="AZ13" s="668"/>
      <c r="BA13" s="658"/>
      <c r="BB13" s="658"/>
      <c r="BC13" s="658"/>
      <c r="BD13" s="658"/>
      <c r="BE13" s="658"/>
      <c r="BF13" s="658"/>
      <c r="BG13" s="658"/>
      <c r="BH13" s="658"/>
      <c r="BI13" s="658"/>
      <c r="BJ13" s="658"/>
      <c r="BK13" s="658"/>
      <c r="BL13" s="658"/>
      <c r="BM13" s="658"/>
      <c r="BN13" s="658"/>
      <c r="BO13" s="659"/>
      <c r="BP13" s="659"/>
      <c r="BQ13" s="659"/>
      <c r="BR13" s="659"/>
      <c r="BS13" s="659"/>
      <c r="BT13" s="6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row>
    <row r="14" spans="2:131" s="74" customFormat="1" ht="13.5" customHeight="1" thickBot="1">
      <c r="B14" s="1257" t="s">
        <v>86</v>
      </c>
      <c r="C14" s="1258"/>
      <c r="D14" s="1262">
        <f>'TWW-DIM'!AC21</f>
        <v>0</v>
      </c>
      <c r="E14" s="1263"/>
      <c r="F14" s="1263"/>
      <c r="G14" s="1263"/>
      <c r="H14" s="395"/>
      <c r="I14" s="395"/>
      <c r="J14" s="395"/>
      <c r="K14" s="395"/>
      <c r="L14" s="395"/>
      <c r="M14" s="416" t="s">
        <v>197</v>
      </c>
      <c r="N14" s="1264">
        <f>'TWW-DIM'!$N$16</f>
        <v>10</v>
      </c>
      <c r="O14" s="1265"/>
      <c r="P14" s="1266" t="s">
        <v>198</v>
      </c>
      <c r="Q14" s="1267"/>
      <c r="R14" s="1267"/>
      <c r="S14" s="1268">
        <f>MAX(G17,G19,G21,G23)</f>
        <v>38</v>
      </c>
      <c r="T14" s="1269"/>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6"/>
      <c r="AX14" s="68"/>
      <c r="AY14" s="69"/>
      <c r="AZ14" s="1303" t="s">
        <v>59</v>
      </c>
      <c r="BA14" s="1304"/>
      <c r="BB14" s="1304"/>
      <c r="BC14" s="1304"/>
      <c r="BD14" s="1304"/>
      <c r="BE14" s="1304"/>
      <c r="BF14" s="1304"/>
      <c r="BG14" s="1304"/>
      <c r="BH14" s="1304"/>
      <c r="BI14" s="1304"/>
      <c r="BJ14" s="1304"/>
      <c r="BK14" s="1304"/>
      <c r="BL14" s="1304"/>
      <c r="BM14" s="1304"/>
      <c r="BN14" s="1304"/>
      <c r="BO14" s="1304"/>
      <c r="BP14" s="1304"/>
      <c r="BQ14" s="1304"/>
      <c r="BR14" s="1304"/>
      <c r="BS14" s="1304"/>
      <c r="BT14" s="1305"/>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row>
    <row r="15" spans="2:131" s="74" customFormat="1" ht="13.5" customHeight="1" thickTop="1">
      <c r="B15" s="1259"/>
      <c r="C15" s="1260"/>
      <c r="D15" s="1306" t="s">
        <v>193</v>
      </c>
      <c r="E15" s="1307"/>
      <c r="F15" s="1307"/>
      <c r="G15" s="1307"/>
      <c r="H15" s="1307"/>
      <c r="I15" s="1307"/>
      <c r="J15" s="1307"/>
      <c r="K15" s="1307"/>
      <c r="L15" s="1307"/>
      <c r="M15" s="1307"/>
      <c r="N15" s="79"/>
      <c r="O15" s="79"/>
      <c r="P15" s="1308" t="s">
        <v>194</v>
      </c>
      <c r="Q15" s="1309"/>
      <c r="R15" s="1310"/>
      <c r="S15" s="417"/>
      <c r="T15" s="418"/>
      <c r="U15" s="418"/>
      <c r="V15" s="418"/>
      <c r="W15" s="418"/>
      <c r="X15" s="418"/>
      <c r="Y15" s="418"/>
      <c r="Z15" s="418"/>
      <c r="AA15" s="419"/>
      <c r="AB15" s="75"/>
      <c r="AC15" s="616" t="s">
        <v>248</v>
      </c>
      <c r="AD15" s="397"/>
      <c r="AE15" s="397"/>
      <c r="AF15" s="397"/>
      <c r="AG15" s="397"/>
      <c r="AH15" s="397" t="str">
        <f>IF(B30="X","ja","nein")</f>
        <v>nein</v>
      </c>
      <c r="AI15" s="397"/>
      <c r="AJ15" s="1311" t="s">
        <v>55</v>
      </c>
      <c r="AK15" s="1312"/>
      <c r="AL15" s="1308" t="s">
        <v>194</v>
      </c>
      <c r="AM15" s="1309"/>
      <c r="AN15" s="1310"/>
      <c r="AO15" s="79"/>
      <c r="AP15" s="79"/>
      <c r="AQ15" s="79"/>
      <c r="AR15" s="79"/>
      <c r="AS15" s="79"/>
      <c r="AT15" s="79"/>
      <c r="AU15" s="79"/>
      <c r="AV15" s="79"/>
      <c r="AW15" s="78"/>
      <c r="AX15" s="68"/>
      <c r="AY15" s="69"/>
      <c r="AZ15" s="1303"/>
      <c r="BA15" s="1304"/>
      <c r="BB15" s="1304"/>
      <c r="BC15" s="1304"/>
      <c r="BD15" s="1304"/>
      <c r="BE15" s="1304"/>
      <c r="BF15" s="1304"/>
      <c r="BG15" s="1304"/>
      <c r="BH15" s="1304"/>
      <c r="BI15" s="1304"/>
      <c r="BJ15" s="1304"/>
      <c r="BK15" s="1304"/>
      <c r="BL15" s="1304"/>
      <c r="BM15" s="1304"/>
      <c r="BN15" s="1304"/>
      <c r="BO15" s="1304"/>
      <c r="BP15" s="1304"/>
      <c r="BQ15" s="1304"/>
      <c r="BR15" s="1304"/>
      <c r="BS15" s="1304"/>
      <c r="BT15" s="1305"/>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row>
    <row r="16" spans="2:131" s="74" customFormat="1" ht="13.5" customHeight="1">
      <c r="B16" s="1259"/>
      <c r="C16" s="1260"/>
      <c r="D16" s="99" t="s">
        <v>13</v>
      </c>
      <c r="E16" s="98"/>
      <c r="F16" s="98"/>
      <c r="G16" s="1313" t="s">
        <v>83</v>
      </c>
      <c r="H16" s="1313"/>
      <c r="I16" s="1313" t="s">
        <v>82</v>
      </c>
      <c r="J16" s="1313"/>
      <c r="K16" s="1313"/>
      <c r="L16" s="1313"/>
      <c r="M16" s="1313"/>
      <c r="N16" s="1314" t="s">
        <v>188</v>
      </c>
      <c r="O16" s="1314"/>
      <c r="P16" s="1315" t="s">
        <v>195</v>
      </c>
      <c r="Q16" s="1316"/>
      <c r="R16" s="1317"/>
      <c r="S16" s="1318" t="s">
        <v>196</v>
      </c>
      <c r="T16" s="1309"/>
      <c r="U16" s="1309"/>
      <c r="V16" s="1309"/>
      <c r="W16" s="1309"/>
      <c r="X16" s="1309"/>
      <c r="Y16" s="1309"/>
      <c r="Z16" s="1309"/>
      <c r="AA16" s="1319"/>
      <c r="AB16" s="75"/>
      <c r="AC16" s="433"/>
      <c r="AD16" s="374"/>
      <c r="AE16" s="374"/>
      <c r="AF16" s="374"/>
      <c r="AG16" s="374"/>
      <c r="AH16" s="374"/>
      <c r="AI16" s="434"/>
      <c r="AJ16" s="1270" t="s">
        <v>188</v>
      </c>
      <c r="AK16" s="1271"/>
      <c r="AL16" s="1315" t="s">
        <v>195</v>
      </c>
      <c r="AM16" s="1316"/>
      <c r="AN16" s="1317"/>
      <c r="AO16" s="1318" t="s">
        <v>196</v>
      </c>
      <c r="AP16" s="1309"/>
      <c r="AQ16" s="1309"/>
      <c r="AR16" s="1309"/>
      <c r="AS16" s="1309"/>
      <c r="AT16" s="1309"/>
      <c r="AU16" s="1309"/>
      <c r="AV16" s="1309"/>
      <c r="AW16" s="1319"/>
      <c r="AX16" s="68"/>
      <c r="AY16" s="69"/>
      <c r="AZ16" s="668"/>
      <c r="BA16" s="658"/>
      <c r="BB16" s="658"/>
      <c r="BC16" s="658"/>
      <c r="BD16" s="658"/>
      <c r="BE16" s="658"/>
      <c r="BF16" s="658"/>
      <c r="BG16" s="658"/>
      <c r="BH16" s="658"/>
      <c r="BI16" s="658"/>
      <c r="BJ16" s="658"/>
      <c r="BK16" s="658"/>
      <c r="BL16" s="658"/>
      <c r="BM16" s="658"/>
      <c r="BN16" s="658"/>
      <c r="BO16" s="659"/>
      <c r="BP16" s="659"/>
      <c r="BQ16" s="659"/>
      <c r="BR16" s="659"/>
      <c r="BS16" s="659"/>
      <c r="BT16" s="6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row>
    <row r="17" spans="2:131" s="74" customFormat="1" ht="13.5" customHeight="1">
      <c r="B17" s="1259"/>
      <c r="C17" s="1260"/>
      <c r="D17" s="1274">
        <f>'TWW-DIM'!AJ23</f>
        <v>38</v>
      </c>
      <c r="E17" s="1275"/>
      <c r="F17" s="94"/>
      <c r="G17" s="1276">
        <f>'TWW-DIM'!N11</f>
        <v>38</v>
      </c>
      <c r="H17" s="1277"/>
      <c r="I17" s="93" t="s">
        <v>72</v>
      </c>
      <c r="J17" s="1278">
        <f>'TWW-DIM'!$J$11</f>
        <v>10</v>
      </c>
      <c r="K17" s="1279"/>
      <c r="L17" s="1280"/>
      <c r="M17" s="93" t="s">
        <v>72</v>
      </c>
      <c r="N17" s="1281">
        <f>IF(D14&lt;=D17,D14,D17)</f>
        <v>0</v>
      </c>
      <c r="O17" s="1273"/>
      <c r="P17" s="1282">
        <f>J17/60*N17</f>
        <v>0</v>
      </c>
      <c r="Q17" s="1283"/>
      <c r="R17" s="1284"/>
      <c r="S17" s="1283">
        <f>P17*(G17-N14)/(S25-N14)</f>
        <v>0</v>
      </c>
      <c r="T17" s="1283"/>
      <c r="U17" s="1283"/>
      <c r="V17" s="1285">
        <f>P17*(G17-N14)/(V25-N14)</f>
        <v>0</v>
      </c>
      <c r="W17" s="1283"/>
      <c r="X17" s="1286"/>
      <c r="Y17" s="1283">
        <f>P17*(G17-N14)/(Y25-N14)</f>
        <v>0</v>
      </c>
      <c r="Z17" s="1283"/>
      <c r="AA17" s="1287"/>
      <c r="AB17" s="75"/>
      <c r="AC17" s="435"/>
      <c r="AD17" s="374"/>
      <c r="AE17" s="374"/>
      <c r="AF17" s="374"/>
      <c r="AG17" s="374"/>
      <c r="AH17" s="374"/>
      <c r="AI17" s="434"/>
      <c r="AJ17" s="1272">
        <f>'TWW-DIM'!AJ24</f>
        <v>0</v>
      </c>
      <c r="AK17" s="1273"/>
      <c r="AL17" s="1282">
        <f>J17/60*AJ17</f>
        <v>0</v>
      </c>
      <c r="AM17" s="1283"/>
      <c r="AN17" s="1284"/>
      <c r="AO17" s="1283">
        <f>AL17*(G17-N14)/(AO25-N14)</f>
        <v>0</v>
      </c>
      <c r="AP17" s="1283"/>
      <c r="AQ17" s="1283"/>
      <c r="AR17" s="1285">
        <f>AL17*(G17-N14)/(AR25-N14)</f>
        <v>0</v>
      </c>
      <c r="AS17" s="1283"/>
      <c r="AT17" s="1286"/>
      <c r="AU17" s="1283">
        <f>AL17*(G17-N14)/(AU25-N14)</f>
        <v>0</v>
      </c>
      <c r="AV17" s="1283"/>
      <c r="AW17" s="1287"/>
      <c r="AX17" s="68"/>
      <c r="AY17" s="69"/>
      <c r="AZ17" s="1303" t="s">
        <v>58</v>
      </c>
      <c r="BA17" s="1304"/>
      <c r="BB17" s="1304"/>
      <c r="BC17" s="1304"/>
      <c r="BD17" s="1304"/>
      <c r="BE17" s="1304"/>
      <c r="BF17" s="1304"/>
      <c r="BG17" s="1304"/>
      <c r="BH17" s="1304"/>
      <c r="BI17" s="1304"/>
      <c r="BJ17" s="1304"/>
      <c r="BK17" s="1304"/>
      <c r="BL17" s="1304"/>
      <c r="BM17" s="1304"/>
      <c r="BN17" s="1304"/>
      <c r="BO17" s="1304"/>
      <c r="BP17" s="1304"/>
      <c r="BQ17" s="1304"/>
      <c r="BR17" s="1304"/>
      <c r="BS17" s="1304"/>
      <c r="BT17" s="1305"/>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row>
    <row r="18" spans="2:131" s="74" customFormat="1" ht="13.5" customHeight="1">
      <c r="B18" s="1259"/>
      <c r="C18" s="1260"/>
      <c r="D18" s="97" t="s">
        <v>79</v>
      </c>
      <c r="E18" s="79"/>
      <c r="F18" s="79"/>
      <c r="G18" s="79"/>
      <c r="H18" s="79"/>
      <c r="I18" s="79"/>
      <c r="J18" s="79"/>
      <c r="K18" s="79"/>
      <c r="L18" s="79"/>
      <c r="M18" s="79"/>
      <c r="N18" s="1320">
        <f>D19+D17</f>
        <v>38</v>
      </c>
      <c r="O18" s="1321"/>
      <c r="P18" s="80"/>
      <c r="Q18" s="79"/>
      <c r="R18" s="382"/>
      <c r="S18" s="79"/>
      <c r="T18" s="79"/>
      <c r="U18" s="79"/>
      <c r="V18" s="386"/>
      <c r="W18" s="79"/>
      <c r="X18" s="387"/>
      <c r="Y18" s="79"/>
      <c r="Z18" s="79"/>
      <c r="AA18" s="78"/>
      <c r="AB18" s="75"/>
      <c r="AC18" s="435"/>
      <c r="AD18" s="374"/>
      <c r="AE18" s="374"/>
      <c r="AF18" s="374"/>
      <c r="AG18" s="374"/>
      <c r="AH18" s="374"/>
      <c r="AI18" s="434"/>
      <c r="AJ18" s="1322"/>
      <c r="AK18" s="1321"/>
      <c r="AL18" s="80"/>
      <c r="AM18" s="79"/>
      <c r="AN18" s="382"/>
      <c r="AO18" s="79"/>
      <c r="AP18" s="79"/>
      <c r="AQ18" s="79"/>
      <c r="AR18" s="386"/>
      <c r="AS18" s="79"/>
      <c r="AT18" s="387"/>
      <c r="AU18" s="79"/>
      <c r="AV18" s="79"/>
      <c r="AW18" s="78"/>
      <c r="AX18" s="68"/>
      <c r="AY18" s="69"/>
      <c r="AZ18" s="1303"/>
      <c r="BA18" s="1304"/>
      <c r="BB18" s="1304"/>
      <c r="BC18" s="1304"/>
      <c r="BD18" s="1304"/>
      <c r="BE18" s="1304"/>
      <c r="BF18" s="1304"/>
      <c r="BG18" s="1304"/>
      <c r="BH18" s="1304"/>
      <c r="BI18" s="1304"/>
      <c r="BJ18" s="1304"/>
      <c r="BK18" s="1304"/>
      <c r="BL18" s="1304"/>
      <c r="BM18" s="1304"/>
      <c r="BN18" s="1304"/>
      <c r="BO18" s="1304"/>
      <c r="BP18" s="1304"/>
      <c r="BQ18" s="1304"/>
      <c r="BR18" s="1304"/>
      <c r="BS18" s="1304"/>
      <c r="BT18" s="1305"/>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row>
    <row r="19" spans="2:131" s="74" customFormat="1" ht="13.5" customHeight="1">
      <c r="B19" s="1259"/>
      <c r="C19" s="1260"/>
      <c r="D19" s="1274">
        <f>'TWW-DIM'!AM23</f>
        <v>0</v>
      </c>
      <c r="E19" s="1275"/>
      <c r="F19" s="79"/>
      <c r="G19" s="1276">
        <f>'TWW-DIM'!N12</f>
        <v>30</v>
      </c>
      <c r="H19" s="1277"/>
      <c r="I19" s="85" t="s">
        <v>72</v>
      </c>
      <c r="J19" s="1278">
        <f>'TWW-DIM'!$J$12</f>
        <v>4.5</v>
      </c>
      <c r="K19" s="1279"/>
      <c r="L19" s="1280"/>
      <c r="M19" s="85" t="s">
        <v>72</v>
      </c>
      <c r="N19" s="1281">
        <f>IF(N18&gt;D14,D14-N17,D19)</f>
        <v>0</v>
      </c>
      <c r="O19" s="1273"/>
      <c r="P19" s="1282">
        <f>J19/60*N19</f>
        <v>0</v>
      </c>
      <c r="Q19" s="1283"/>
      <c r="R19" s="1284"/>
      <c r="S19" s="1283">
        <f>P19*(G19-N14)/(S25-N14)</f>
        <v>0</v>
      </c>
      <c r="T19" s="1283"/>
      <c r="U19" s="1283"/>
      <c r="V19" s="1285">
        <f>P19*(G19-N14)/(V25-N14)</f>
        <v>0</v>
      </c>
      <c r="W19" s="1283"/>
      <c r="X19" s="1286"/>
      <c r="Y19" s="1283">
        <f>P19*(G19-N14)/(Y25-N14)</f>
        <v>0</v>
      </c>
      <c r="Z19" s="1283"/>
      <c r="AA19" s="1287"/>
      <c r="AB19" s="75"/>
      <c r="AC19" s="435"/>
      <c r="AD19" s="374"/>
      <c r="AE19" s="374"/>
      <c r="AF19" s="374"/>
      <c r="AG19" s="374"/>
      <c r="AH19" s="374"/>
      <c r="AI19" s="434"/>
      <c r="AJ19" s="1272">
        <f>'TWW-DIM'!AM24</f>
        <v>0</v>
      </c>
      <c r="AK19" s="1273"/>
      <c r="AL19" s="1282">
        <f>J19/60*AJ19</f>
        <v>0</v>
      </c>
      <c r="AM19" s="1283"/>
      <c r="AN19" s="1284"/>
      <c r="AO19" s="1283">
        <f>AL19*(G19-N14)/(AO25-N14)</f>
        <v>0</v>
      </c>
      <c r="AP19" s="1283"/>
      <c r="AQ19" s="1283"/>
      <c r="AR19" s="1285">
        <f>AL19*(G19-N14)/(AR25-N14)</f>
        <v>0</v>
      </c>
      <c r="AS19" s="1283"/>
      <c r="AT19" s="1286"/>
      <c r="AU19" s="1283">
        <f>AL19*(G19-N14)/(AU25-N14)</f>
        <v>0</v>
      </c>
      <c r="AV19" s="1283"/>
      <c r="AW19" s="1287"/>
      <c r="AX19" s="68"/>
      <c r="AY19" s="69"/>
      <c r="AZ19" s="668"/>
      <c r="BA19" s="658"/>
      <c r="BB19" s="658"/>
      <c r="BC19" s="658"/>
      <c r="BD19" s="658"/>
      <c r="BE19" s="658"/>
      <c r="BF19" s="658"/>
      <c r="BG19" s="658"/>
      <c r="BH19" s="658"/>
      <c r="BI19" s="658"/>
      <c r="BJ19" s="658"/>
      <c r="BK19" s="658"/>
      <c r="BL19" s="658"/>
      <c r="BM19" s="658"/>
      <c r="BN19" s="658"/>
      <c r="BO19" s="659"/>
      <c r="BP19" s="659"/>
      <c r="BQ19" s="659"/>
      <c r="BR19" s="659"/>
      <c r="BS19" s="659"/>
      <c r="BT19" s="6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row>
    <row r="20" spans="2:131" s="74" customFormat="1" ht="13.5" customHeight="1">
      <c r="B20" s="1259"/>
      <c r="C20" s="1260"/>
      <c r="D20" s="1325">
        <f>'TWW-DIM'!$A$13</f>
        <v>0</v>
      </c>
      <c r="E20" s="1326"/>
      <c r="F20" s="1326"/>
      <c r="G20" s="1326"/>
      <c r="H20" s="1326"/>
      <c r="I20" s="87"/>
      <c r="J20" s="87"/>
      <c r="K20" s="87"/>
      <c r="L20" s="87"/>
      <c r="M20" s="87"/>
      <c r="N20" s="87"/>
      <c r="O20" s="87"/>
      <c r="P20" s="88"/>
      <c r="Q20" s="87"/>
      <c r="R20" s="383"/>
      <c r="S20" s="87"/>
      <c r="T20" s="87"/>
      <c r="U20" s="87"/>
      <c r="V20" s="388"/>
      <c r="W20" s="87"/>
      <c r="X20" s="389"/>
      <c r="Y20" s="87"/>
      <c r="Z20" s="87"/>
      <c r="AA20" s="86"/>
      <c r="AB20" s="75"/>
      <c r="AC20" s="435"/>
      <c r="AD20" s="374"/>
      <c r="AE20" s="374"/>
      <c r="AF20" s="374"/>
      <c r="AG20" s="374"/>
      <c r="AH20" s="374"/>
      <c r="AI20" s="434"/>
      <c r="AJ20" s="88"/>
      <c r="AK20" s="87"/>
      <c r="AL20" s="88"/>
      <c r="AM20" s="87"/>
      <c r="AN20" s="383"/>
      <c r="AO20" s="87"/>
      <c r="AP20" s="87"/>
      <c r="AQ20" s="87"/>
      <c r="AR20" s="388"/>
      <c r="AS20" s="87"/>
      <c r="AT20" s="389"/>
      <c r="AU20" s="87"/>
      <c r="AV20" s="87"/>
      <c r="AW20" s="86"/>
      <c r="AX20" s="68"/>
      <c r="AY20" s="69"/>
      <c r="AZ20" s="1303" t="s">
        <v>263</v>
      </c>
      <c r="BA20" s="1304"/>
      <c r="BB20" s="1304"/>
      <c r="BC20" s="1304"/>
      <c r="BD20" s="1304"/>
      <c r="BE20" s="1304"/>
      <c r="BF20" s="1304"/>
      <c r="BG20" s="1304"/>
      <c r="BH20" s="1304"/>
      <c r="BI20" s="1304"/>
      <c r="BJ20" s="1304"/>
      <c r="BK20" s="1304"/>
      <c r="BL20" s="1304"/>
      <c r="BM20" s="1304"/>
      <c r="BN20" s="1304"/>
      <c r="BO20" s="1304"/>
      <c r="BP20" s="1304"/>
      <c r="BQ20" s="1304"/>
      <c r="BR20" s="1304"/>
      <c r="BS20" s="1304"/>
      <c r="BT20" s="1305"/>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row>
    <row r="21" spans="2:131" s="74" customFormat="1" ht="13.5" customHeight="1">
      <c r="B21" s="1259"/>
      <c r="C21" s="1260"/>
      <c r="D21" s="1327">
        <f>'TWW-DIM'!AP23</f>
        <v>0</v>
      </c>
      <c r="E21" s="1328"/>
      <c r="F21" s="94"/>
      <c r="G21" s="1276">
        <f>'TWW-DIM'!N13</f>
        <v>0</v>
      </c>
      <c r="H21" s="1277"/>
      <c r="I21" s="93" t="s">
        <v>72</v>
      </c>
      <c r="J21" s="1278">
        <f>'TWW-DIM'!$J$13</f>
        <v>0</v>
      </c>
      <c r="K21" s="1279"/>
      <c r="L21" s="1280"/>
      <c r="M21" s="93" t="s">
        <v>72</v>
      </c>
      <c r="N21" s="1281">
        <f>'TWW-DIM'!AP24</f>
        <v>0</v>
      </c>
      <c r="O21" s="1273"/>
      <c r="P21" s="1282">
        <f>IF(D20="","",J21/60*N21)</f>
        <v>0</v>
      </c>
      <c r="Q21" s="1283"/>
      <c r="R21" s="1284"/>
      <c r="S21" s="1283">
        <f>P21*(G21-N14)/(S25-N14)</f>
        <v>0</v>
      </c>
      <c r="T21" s="1283"/>
      <c r="U21" s="1283"/>
      <c r="V21" s="1285">
        <f>P21*(G21-N14)/(V25-N14)</f>
        <v>0</v>
      </c>
      <c r="W21" s="1283"/>
      <c r="X21" s="1286"/>
      <c r="Y21" s="1283">
        <f>P21*(G21-N14)/(Y25-N14)</f>
        <v>0</v>
      </c>
      <c r="Z21" s="1283"/>
      <c r="AA21" s="1287"/>
      <c r="AB21" s="75"/>
      <c r="AC21" s="435"/>
      <c r="AD21" s="374"/>
      <c r="AE21" s="374"/>
      <c r="AF21" s="374"/>
      <c r="AG21" s="374"/>
      <c r="AH21" s="374"/>
      <c r="AI21" s="434"/>
      <c r="AJ21" s="1272"/>
      <c r="AK21" s="1273"/>
      <c r="AL21" s="1282">
        <f>IF(D20="","",J21/60*AJ21)</f>
        <v>0</v>
      </c>
      <c r="AM21" s="1283"/>
      <c r="AN21" s="1284"/>
      <c r="AO21" s="1283">
        <f>AL21*(G21-N14)/(AO25-N14)</f>
        <v>0</v>
      </c>
      <c r="AP21" s="1283"/>
      <c r="AQ21" s="1283"/>
      <c r="AR21" s="1285">
        <f>AL21*(G21-N14)/(AR25-N14)</f>
        <v>0</v>
      </c>
      <c r="AS21" s="1283"/>
      <c r="AT21" s="1286"/>
      <c r="AU21" s="1283">
        <f>AL21*(G21-N14)/(AU25-N14)</f>
        <v>0</v>
      </c>
      <c r="AV21" s="1283"/>
      <c r="AW21" s="1287"/>
      <c r="AX21" s="68"/>
      <c r="AY21" s="69"/>
      <c r="AZ21" s="1303"/>
      <c r="BA21" s="1304"/>
      <c r="BB21" s="1304"/>
      <c r="BC21" s="1304"/>
      <c r="BD21" s="1304"/>
      <c r="BE21" s="1304"/>
      <c r="BF21" s="1304"/>
      <c r="BG21" s="1304"/>
      <c r="BH21" s="1304"/>
      <c r="BI21" s="1304"/>
      <c r="BJ21" s="1304"/>
      <c r="BK21" s="1304"/>
      <c r="BL21" s="1304"/>
      <c r="BM21" s="1304"/>
      <c r="BN21" s="1304"/>
      <c r="BO21" s="1304"/>
      <c r="BP21" s="1304"/>
      <c r="BQ21" s="1304"/>
      <c r="BR21" s="1304"/>
      <c r="BS21" s="1304"/>
      <c r="BT21" s="1305"/>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row>
    <row r="22" spans="2:131" s="74" customFormat="1" ht="13.5" customHeight="1">
      <c r="B22" s="1259"/>
      <c r="C22" s="1260"/>
      <c r="D22" s="1323"/>
      <c r="E22" s="1324"/>
      <c r="F22" s="1324"/>
      <c r="G22" s="1324"/>
      <c r="H22" s="1324"/>
      <c r="I22" s="330"/>
      <c r="J22" s="330"/>
      <c r="K22" s="330"/>
      <c r="L22" s="330"/>
      <c r="M22" s="330"/>
      <c r="N22" s="330"/>
      <c r="O22" s="330"/>
      <c r="P22" s="331"/>
      <c r="Q22" s="332"/>
      <c r="R22" s="384"/>
      <c r="S22" s="332"/>
      <c r="T22" s="332"/>
      <c r="U22" s="332"/>
      <c r="V22" s="390"/>
      <c r="W22" s="332"/>
      <c r="X22" s="391"/>
      <c r="Y22" s="332"/>
      <c r="Z22" s="332"/>
      <c r="AA22" s="333"/>
      <c r="AB22" s="75"/>
      <c r="AC22" s="435"/>
      <c r="AD22" s="374"/>
      <c r="AE22" s="374"/>
      <c r="AF22" s="374"/>
      <c r="AG22" s="374"/>
      <c r="AH22" s="374"/>
      <c r="AI22" s="434"/>
      <c r="AJ22" s="394"/>
      <c r="AK22" s="330"/>
      <c r="AL22" s="331"/>
      <c r="AM22" s="332"/>
      <c r="AN22" s="384"/>
      <c r="AO22" s="332"/>
      <c r="AP22" s="332"/>
      <c r="AQ22" s="332"/>
      <c r="AR22" s="390"/>
      <c r="AS22" s="332"/>
      <c r="AT22" s="391"/>
      <c r="AU22" s="332"/>
      <c r="AV22" s="332"/>
      <c r="AW22" s="333"/>
      <c r="AX22" s="68"/>
      <c r="AY22" s="69"/>
      <c r="AZ22" s="426"/>
      <c r="BA22" s="72"/>
      <c r="BB22" s="72"/>
      <c r="BC22" s="72"/>
      <c r="BD22" s="72"/>
      <c r="BE22" s="72"/>
      <c r="BF22" s="72"/>
      <c r="BG22" s="72"/>
      <c r="BH22" s="72"/>
      <c r="BI22" s="72"/>
      <c r="BJ22" s="72"/>
      <c r="BK22" s="72"/>
      <c r="BL22" s="72"/>
      <c r="BM22" s="72"/>
      <c r="BN22" s="72"/>
      <c r="BO22" s="73"/>
      <c r="BP22" s="73"/>
      <c r="BQ22" s="73"/>
      <c r="BR22" s="73"/>
      <c r="BS22" s="73"/>
      <c r="BT22" s="427"/>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row>
    <row r="23" spans="2:131" s="74" customFormat="1" ht="13.5" customHeight="1" thickBot="1">
      <c r="B23" s="1259"/>
      <c r="C23" s="1260"/>
      <c r="D23" s="334"/>
      <c r="E23" s="330"/>
      <c r="F23" s="330"/>
      <c r="G23" s="1329"/>
      <c r="H23" s="1330"/>
      <c r="I23" s="335" t="s">
        <v>72</v>
      </c>
      <c r="J23" s="1331"/>
      <c r="K23" s="1332"/>
      <c r="L23" s="1333"/>
      <c r="M23" s="335" t="s">
        <v>72</v>
      </c>
      <c r="N23" s="1334"/>
      <c r="O23" s="1335"/>
      <c r="P23" s="1336">
        <f>IF(D22="",0,J23/60*N23)</f>
        <v>0</v>
      </c>
      <c r="Q23" s="1337"/>
      <c r="R23" s="1338"/>
      <c r="S23" s="1337">
        <f>P23*(G23-N14)/(S25-N14)</f>
        <v>0</v>
      </c>
      <c r="T23" s="1337"/>
      <c r="U23" s="1337"/>
      <c r="V23" s="1339">
        <f>P23*(G23-N14)/(V25-N14)</f>
        <v>0</v>
      </c>
      <c r="W23" s="1337"/>
      <c r="X23" s="1340"/>
      <c r="Y23" s="1337">
        <f>P23*(G23-N14)/(Y25-N14)</f>
        <v>0</v>
      </c>
      <c r="Z23" s="1337"/>
      <c r="AA23" s="1343"/>
      <c r="AB23" s="75"/>
      <c r="AC23" s="436"/>
      <c r="AD23" s="437"/>
      <c r="AE23" s="437"/>
      <c r="AF23" s="437"/>
      <c r="AG23" s="437"/>
      <c r="AH23" s="437"/>
      <c r="AI23" s="438"/>
      <c r="AJ23" s="1344"/>
      <c r="AK23" s="1345"/>
      <c r="AL23" s="1336">
        <f>IF(D22="",0,J23/60*AJ23)</f>
        <v>0</v>
      </c>
      <c r="AM23" s="1337"/>
      <c r="AN23" s="1338"/>
      <c r="AO23" s="1337">
        <f>AL23*(G23-N14)/(AO25-N14)</f>
        <v>0</v>
      </c>
      <c r="AP23" s="1337"/>
      <c r="AQ23" s="1337"/>
      <c r="AR23" s="1339">
        <f>AL23*(G23-N14)/(AR25-N14)</f>
        <v>0</v>
      </c>
      <c r="AS23" s="1337"/>
      <c r="AT23" s="1340"/>
      <c r="AU23" s="1337">
        <f>AL23*(G23-N14)/(AU25-N14)</f>
        <v>0</v>
      </c>
      <c r="AV23" s="1337"/>
      <c r="AW23" s="1343"/>
      <c r="AX23" s="68"/>
      <c r="AY23" s="69"/>
      <c r="AZ23" s="426"/>
      <c r="BA23" s="72"/>
      <c r="BB23" s="72"/>
      <c r="BC23" s="72"/>
      <c r="BD23" s="72"/>
      <c r="BE23" s="72"/>
      <c r="BF23" s="72"/>
      <c r="BG23" s="72"/>
      <c r="BH23" s="72"/>
      <c r="BI23" s="72"/>
      <c r="BJ23" s="72"/>
      <c r="BK23" s="72"/>
      <c r="BL23" s="72"/>
      <c r="BM23" s="72"/>
      <c r="BN23" s="72"/>
      <c r="BO23" s="73"/>
      <c r="BP23" s="73"/>
      <c r="BQ23" s="73"/>
      <c r="BR23" s="73"/>
      <c r="BS23" s="73"/>
      <c r="BT23" s="427"/>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row>
    <row r="24" spans="2:131" s="74" customFormat="1" ht="13.5" customHeight="1" thickTop="1">
      <c r="B24" s="1259"/>
      <c r="C24" s="1261"/>
      <c r="D24" s="1288" t="s">
        <v>47</v>
      </c>
      <c r="E24" s="1289"/>
      <c r="F24" s="1289"/>
      <c r="G24" s="1289"/>
      <c r="H24" s="1289"/>
      <c r="I24" s="1292">
        <f>P24*60</f>
        <v>0</v>
      </c>
      <c r="J24" s="1292"/>
      <c r="K24" s="1292"/>
      <c r="L24" s="1293"/>
      <c r="M24" s="1294">
        <f>N23+N21+N19+N17</f>
        <v>0</v>
      </c>
      <c r="N24" s="1294"/>
      <c r="O24" s="1295"/>
      <c r="P24" s="1298">
        <f>P17+P19+P21+P23</f>
        <v>0</v>
      </c>
      <c r="Q24" s="1298"/>
      <c r="R24" s="1299"/>
      <c r="S24" s="1302">
        <f>S17+S19+S21+S23</f>
        <v>0</v>
      </c>
      <c r="T24" s="1302"/>
      <c r="U24" s="1302"/>
      <c r="V24" s="1341">
        <f>V17+V19+V21+V23</f>
        <v>0</v>
      </c>
      <c r="W24" s="1302"/>
      <c r="X24" s="1342"/>
      <c r="Y24" s="1302">
        <f>Y17+Y19+Y21+Y23</f>
        <v>0</v>
      </c>
      <c r="Z24" s="1302"/>
      <c r="AA24" s="1346"/>
      <c r="AB24" s="420"/>
      <c r="AC24" s="1358" t="s">
        <v>47</v>
      </c>
      <c r="AD24" s="1358"/>
      <c r="AE24" s="1358"/>
      <c r="AF24" s="1292">
        <f>AL24*60</f>
        <v>0</v>
      </c>
      <c r="AG24" s="1292"/>
      <c r="AH24" s="1292"/>
      <c r="AI24" s="1360"/>
      <c r="AJ24" s="1361">
        <f>AJ23+AJ21+AJ19+AJ17</f>
        <v>0</v>
      </c>
      <c r="AK24" s="1362"/>
      <c r="AL24" s="1298">
        <f>AL17+AL19+AL21+AL23</f>
        <v>0</v>
      </c>
      <c r="AM24" s="1298"/>
      <c r="AN24" s="1299"/>
      <c r="AO24" s="1302">
        <f>AO17+AO19+AO21+AO23</f>
        <v>0</v>
      </c>
      <c r="AP24" s="1302"/>
      <c r="AQ24" s="1302"/>
      <c r="AR24" s="1341">
        <f>AR17+AR19+AR21+AR23</f>
        <v>0</v>
      </c>
      <c r="AS24" s="1302"/>
      <c r="AT24" s="1342"/>
      <c r="AU24" s="1302">
        <f>AU17+AU19+AU21+AU23</f>
        <v>0</v>
      </c>
      <c r="AV24" s="1302"/>
      <c r="AW24" s="1346"/>
      <c r="AX24" s="68"/>
      <c r="AY24" s="69"/>
      <c r="AZ24" s="426"/>
      <c r="BA24" s="72"/>
      <c r="BB24" s="72"/>
      <c r="BC24" s="72"/>
      <c r="BD24" s="72"/>
      <c r="BE24" s="72"/>
      <c r="BF24" s="72"/>
      <c r="BG24" s="72"/>
      <c r="BH24" s="72"/>
      <c r="BI24" s="72"/>
      <c r="BJ24" s="72"/>
      <c r="BK24" s="72"/>
      <c r="BL24" s="72"/>
      <c r="BM24" s="72"/>
      <c r="BN24" s="72"/>
      <c r="BO24" s="73"/>
      <c r="BP24" s="73"/>
      <c r="BQ24" s="73"/>
      <c r="BR24" s="73"/>
      <c r="BS24" s="73"/>
      <c r="BT24" s="427"/>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row>
    <row r="25" spans="2:131" s="74" customFormat="1" ht="13.5" customHeight="1">
      <c r="B25" s="77"/>
      <c r="C25" s="76"/>
      <c r="D25" s="1290"/>
      <c r="E25" s="1291"/>
      <c r="F25" s="1291"/>
      <c r="G25" s="1291"/>
      <c r="H25" s="1291"/>
      <c r="I25" s="1347">
        <f>IF(P24=0,0,(P17*G17+P19*G19+P21*G21+P23*G23)/P24)</f>
        <v>0</v>
      </c>
      <c r="J25" s="1347"/>
      <c r="K25" s="1347"/>
      <c r="L25" s="1348"/>
      <c r="M25" s="1296"/>
      <c r="N25" s="1296"/>
      <c r="O25" s="1297"/>
      <c r="P25" s="1300"/>
      <c r="Q25" s="1300"/>
      <c r="R25" s="1301"/>
      <c r="S25" s="1349">
        <f>'TWW-DIM'!Q18</f>
        <v>60</v>
      </c>
      <c r="T25" s="1350"/>
      <c r="U25" s="1350"/>
      <c r="V25" s="1351">
        <f>'TWW-DIM'!Q17</f>
        <v>42</v>
      </c>
      <c r="W25" s="1350"/>
      <c r="X25" s="1350"/>
      <c r="Y25" s="1351">
        <f>'TWW-DIM'!Q16</f>
        <v>38</v>
      </c>
      <c r="Z25" s="1350"/>
      <c r="AA25" s="1352"/>
      <c r="AB25" s="421"/>
      <c r="AC25" s="1359"/>
      <c r="AD25" s="1359"/>
      <c r="AE25" s="1359"/>
      <c r="AF25" s="1347">
        <f>IF(AJ24=0,0,(AL17*G17+AL19*G19+AL21*G21+AL23*G23)/AL24)</f>
        <v>0</v>
      </c>
      <c r="AG25" s="1347"/>
      <c r="AH25" s="1347"/>
      <c r="AI25" s="1353"/>
      <c r="AJ25" s="1363"/>
      <c r="AK25" s="1364"/>
      <c r="AL25" s="1300"/>
      <c r="AM25" s="1300"/>
      <c r="AN25" s="1301"/>
      <c r="AO25" s="1354">
        <f>S25</f>
        <v>60</v>
      </c>
      <c r="AP25" s="1355"/>
      <c r="AQ25" s="1355"/>
      <c r="AR25" s="1356">
        <f>V25</f>
        <v>42</v>
      </c>
      <c r="AS25" s="1355"/>
      <c r="AT25" s="1355"/>
      <c r="AU25" s="1356">
        <f>Y25</f>
        <v>38</v>
      </c>
      <c r="AV25" s="1355"/>
      <c r="AW25" s="1357"/>
      <c r="AX25" s="68"/>
      <c r="AY25" s="69"/>
      <c r="AZ25" s="426"/>
      <c r="BA25" s="72"/>
      <c r="BB25" s="72"/>
      <c r="BC25" s="72"/>
      <c r="BD25" s="72"/>
      <c r="BE25" s="72"/>
      <c r="BF25" s="72"/>
      <c r="BG25" s="72"/>
      <c r="BH25" s="72"/>
      <c r="BI25" s="72"/>
      <c r="BJ25" s="72"/>
      <c r="BK25" s="72"/>
      <c r="BL25" s="72"/>
      <c r="BM25" s="72"/>
      <c r="BN25" s="72"/>
      <c r="BO25" s="73"/>
      <c r="BP25" s="73"/>
      <c r="BQ25" s="73"/>
      <c r="BR25" s="73"/>
      <c r="BS25" s="73"/>
      <c r="BT25" s="427"/>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row>
    <row r="26" spans="2:131" s="74" customFormat="1" ht="13.5" customHeight="1">
      <c r="AX26" s="68"/>
      <c r="AY26" s="69"/>
      <c r="AZ26" s="426"/>
      <c r="BA26" s="72"/>
      <c r="BB26" s="72"/>
      <c r="BC26" s="72"/>
      <c r="BD26" s="72"/>
      <c r="BE26" s="72"/>
      <c r="BF26" s="72"/>
      <c r="BG26" s="72"/>
      <c r="BH26" s="72"/>
      <c r="BI26" s="72"/>
      <c r="BJ26" s="72"/>
      <c r="BK26" s="72"/>
      <c r="BL26" s="72"/>
      <c r="BM26" s="72"/>
      <c r="BN26" s="72"/>
      <c r="BO26" s="73"/>
      <c r="BP26" s="73"/>
      <c r="BQ26" s="73"/>
      <c r="BR26" s="73"/>
      <c r="BS26" s="73"/>
      <c r="BT26" s="427"/>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row>
    <row r="27" spans="2:131" s="74" customFormat="1" ht="13.5" customHeight="1" thickBot="1">
      <c r="B27" s="1365" t="s">
        <v>55</v>
      </c>
      <c r="C27" s="410" t="s">
        <v>205</v>
      </c>
      <c r="D27" s="410"/>
      <c r="E27" s="410"/>
      <c r="F27" s="410"/>
      <c r="G27" s="410"/>
      <c r="H27" s="410"/>
      <c r="I27" s="410"/>
      <c r="J27" s="410"/>
      <c r="K27" s="410"/>
      <c r="L27" s="411"/>
      <c r="M27" s="411"/>
      <c r="N27" s="412"/>
      <c r="O27" s="413"/>
      <c r="P27" s="413"/>
      <c r="Q27" s="413"/>
      <c r="R27" s="413"/>
      <c r="S27" s="413"/>
      <c r="T27" s="413"/>
      <c r="U27" s="413"/>
      <c r="V27" s="413"/>
      <c r="W27" s="413"/>
      <c r="X27" s="413"/>
      <c r="Y27" s="413"/>
      <c r="Z27" s="413"/>
      <c r="AA27" s="413"/>
      <c r="AB27" s="1368" t="s">
        <v>204</v>
      </c>
      <c r="AC27" s="1369"/>
      <c r="AE27" s="381" t="s">
        <v>186</v>
      </c>
      <c r="AF27" s="98"/>
      <c r="AG27" s="98"/>
      <c r="AH27" s="98"/>
      <c r="AI27" s="98"/>
      <c r="AJ27" s="98"/>
      <c r="AK27" s="98"/>
      <c r="AL27" s="98"/>
      <c r="AM27" s="98"/>
      <c r="AN27" s="493"/>
      <c r="AO27" s="493"/>
      <c r="AP27" s="493"/>
      <c r="AQ27" s="493"/>
      <c r="AR27" s="493"/>
      <c r="AS27" s="493"/>
      <c r="AT27" s="493"/>
      <c r="AU27" s="493"/>
      <c r="AV27" s="493"/>
      <c r="AW27" s="494"/>
      <c r="AX27" s="68"/>
      <c r="AY27" s="69"/>
      <c r="AZ27" s="426"/>
      <c r="BA27" s="72"/>
      <c r="BB27" s="72"/>
      <c r="BC27" s="72"/>
      <c r="BD27" s="72"/>
      <c r="BE27" s="72"/>
      <c r="BF27" s="72"/>
      <c r="BG27" s="72"/>
      <c r="BH27" s="72"/>
      <c r="BI27" s="72"/>
      <c r="BJ27" s="72"/>
      <c r="BK27" s="72"/>
      <c r="BL27" s="72"/>
      <c r="BM27" s="72"/>
      <c r="BN27" s="72"/>
      <c r="BO27" s="73"/>
      <c r="BP27" s="73"/>
      <c r="BQ27" s="73"/>
      <c r="BR27" s="73"/>
      <c r="BS27" s="73"/>
      <c r="BT27" s="427"/>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row>
    <row r="28" spans="2:131" s="74" customFormat="1" ht="13.5" customHeight="1" thickBot="1">
      <c r="B28" s="1366"/>
      <c r="C28" s="84" t="str">
        <f>'TWW-DIM'!V22</f>
        <v>Hotel-Standard</v>
      </c>
      <c r="D28" s="84"/>
      <c r="E28" s="84"/>
      <c r="F28" s="84"/>
      <c r="G28" s="84"/>
      <c r="H28" s="84"/>
      <c r="I28" s="84"/>
      <c r="J28" s="84"/>
      <c r="K28" s="84"/>
      <c r="L28" s="83"/>
      <c r="M28" s="83"/>
      <c r="N28" s="1370" t="s">
        <v>71</v>
      </c>
      <c r="O28" s="1371"/>
      <c r="P28" s="1371"/>
      <c r="Q28" s="1371"/>
      <c r="R28" s="1371"/>
      <c r="S28" s="1372"/>
      <c r="T28" s="1490">
        <f>T31</f>
        <v>0</v>
      </c>
      <c r="U28" s="1488"/>
      <c r="V28" s="1491"/>
      <c r="W28" s="1487"/>
      <c r="X28" s="1488"/>
      <c r="Y28" s="1489"/>
      <c r="Z28" s="1492">
        <v>100</v>
      </c>
      <c r="AA28" s="1491"/>
      <c r="AB28" s="1379">
        <f>T28*4.1868*($I$25-$N$14)</f>
        <v>0</v>
      </c>
      <c r="AC28" s="1380"/>
      <c r="AE28" s="80"/>
      <c r="AF28" s="79"/>
      <c r="AG28" s="79"/>
      <c r="AH28" s="79"/>
      <c r="AI28" s="79"/>
      <c r="AJ28" s="79"/>
      <c r="AK28" s="79"/>
      <c r="AL28" s="79"/>
      <c r="AM28" s="495"/>
      <c r="AN28" s="495"/>
      <c r="AO28" s="495"/>
      <c r="AP28" s="495"/>
      <c r="AQ28" s="495"/>
      <c r="AR28" s="495"/>
      <c r="AS28" s="495"/>
      <c r="AT28" s="495"/>
      <c r="AU28" s="495"/>
      <c r="AV28" s="495"/>
      <c r="AW28" s="496"/>
      <c r="AX28" s="68"/>
      <c r="AY28" s="69"/>
      <c r="AZ28" s="426"/>
      <c r="BA28" s="72"/>
      <c r="BB28" s="72"/>
      <c r="BC28" s="72"/>
      <c r="BD28" s="72"/>
      <c r="BE28" s="72"/>
      <c r="BF28" s="72"/>
      <c r="BG28" s="72"/>
      <c r="BH28" s="72"/>
      <c r="BI28" s="72"/>
      <c r="BJ28" s="72"/>
      <c r="BK28" s="72"/>
      <c r="BL28" s="72"/>
      <c r="BM28" s="72"/>
      <c r="BN28" s="72"/>
      <c r="BO28" s="73"/>
      <c r="BP28" s="73"/>
      <c r="BQ28" s="73"/>
      <c r="BR28" s="73"/>
      <c r="BS28" s="73"/>
      <c r="BT28" s="427"/>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row>
    <row r="29" spans="2:131" s="74" customFormat="1" ht="13.5" customHeight="1" thickBot="1">
      <c r="B29" s="1452"/>
      <c r="C29" s="116" t="s">
        <v>70</v>
      </c>
      <c r="D29" s="82"/>
      <c r="E29" s="82"/>
      <c r="F29" s="82"/>
      <c r="G29" s="82"/>
      <c r="H29" s="82"/>
      <c r="I29" s="82"/>
      <c r="J29" s="82"/>
      <c r="K29" s="82"/>
      <c r="L29" s="82"/>
      <c r="M29" s="82"/>
      <c r="N29" s="1381" t="s">
        <v>69</v>
      </c>
      <c r="O29" s="1382"/>
      <c r="P29" s="1381" t="s">
        <v>68</v>
      </c>
      <c r="Q29" s="1383"/>
      <c r="R29" s="1382" t="s">
        <v>67</v>
      </c>
      <c r="S29" s="1384"/>
      <c r="T29" s="1385" t="s">
        <v>200</v>
      </c>
      <c r="U29" s="1386"/>
      <c r="V29" s="1387"/>
      <c r="W29" s="1388" t="s">
        <v>201</v>
      </c>
      <c r="X29" s="1389"/>
      <c r="Y29" s="1390"/>
      <c r="Z29" s="1391" t="s">
        <v>199</v>
      </c>
      <c r="AA29" s="1392"/>
      <c r="AB29" s="1393" t="s">
        <v>10</v>
      </c>
      <c r="AC29" s="1394"/>
      <c r="AE29" s="80"/>
      <c r="AF29" s="79"/>
      <c r="AG29" s="79"/>
      <c r="AH29" s="79"/>
      <c r="AI29" s="79"/>
      <c r="AJ29" s="79"/>
      <c r="AK29" s="79"/>
      <c r="AL29" s="79"/>
      <c r="AM29" s="495"/>
      <c r="AN29" s="495"/>
      <c r="AO29" s="495"/>
      <c r="AP29" s="495"/>
      <c r="AQ29" s="495"/>
      <c r="AR29" s="495"/>
      <c r="AS29" s="495"/>
      <c r="AT29" s="495"/>
      <c r="AU29" s="495"/>
      <c r="AV29" s="495"/>
      <c r="AW29" s="496"/>
      <c r="AX29" s="68"/>
      <c r="AY29" s="69"/>
      <c r="AZ29" s="426"/>
      <c r="BA29" s="72"/>
      <c r="BB29" s="72"/>
      <c r="BC29" s="72"/>
      <c r="BD29" s="72"/>
      <c r="BE29" s="72"/>
      <c r="BF29" s="72"/>
      <c r="BG29" s="72"/>
      <c r="BH29" s="72"/>
      <c r="BI29" s="72"/>
      <c r="BJ29" s="72"/>
      <c r="BK29" s="72"/>
      <c r="BL29" s="72"/>
      <c r="BM29" s="72"/>
      <c r="BN29" s="72"/>
      <c r="BO29" s="73"/>
      <c r="BP29" s="73"/>
      <c r="BQ29" s="73"/>
      <c r="BR29" s="73"/>
      <c r="BS29" s="73"/>
      <c r="BT29" s="427"/>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row>
    <row r="30" spans="2:131" s="74" customFormat="1" ht="13.5" customHeight="1" thickTop="1">
      <c r="B30" s="490" t="str">
        <f>IF($C$28=C30,"X","")</f>
        <v/>
      </c>
      <c r="C30" s="497" t="str">
        <f>'TWW-DIM'!BO7</f>
        <v>eigene Auswahl</v>
      </c>
      <c r="D30" s="76"/>
      <c r="E30" s="76"/>
      <c r="F30" s="76"/>
      <c r="G30" s="76"/>
      <c r="H30" s="76"/>
      <c r="I30" s="76"/>
      <c r="J30" s="76"/>
      <c r="K30" s="76"/>
      <c r="L30" s="76"/>
      <c r="M30" s="76"/>
      <c r="N30" s="1480"/>
      <c r="O30" s="1481"/>
      <c r="P30" s="1480"/>
      <c r="Q30" s="1482"/>
      <c r="R30" s="1481"/>
      <c r="S30" s="1483"/>
      <c r="T30" s="1459">
        <f>AL24</f>
        <v>0</v>
      </c>
      <c r="U30" s="1460"/>
      <c r="V30" s="1461"/>
      <c r="W30" s="1484">
        <f>IF(T30=0,0,T30*Z30/100)</f>
        <v>0</v>
      </c>
      <c r="X30" s="1485"/>
      <c r="Y30" s="1486"/>
      <c r="Z30" s="1448">
        <f>IF(T30=0,0,(T30/T28*100))</f>
        <v>0</v>
      </c>
      <c r="AA30" s="1449"/>
      <c r="AB30" s="1462">
        <f>IF(T30=0,0,T30*4.1868*($AF$25-$N$14))</f>
        <v>0</v>
      </c>
      <c r="AC30" s="1463"/>
      <c r="AE30" s="80"/>
      <c r="AF30" s="79"/>
      <c r="AG30" s="79"/>
      <c r="AH30" s="79"/>
      <c r="AI30" s="79"/>
      <c r="AJ30" s="79"/>
      <c r="AK30" s="79"/>
      <c r="AL30" s="79"/>
      <c r="AM30" s="495"/>
      <c r="AN30" s="495"/>
      <c r="AO30" s="495"/>
      <c r="AP30" s="495"/>
      <c r="AQ30" s="495"/>
      <c r="AR30" s="495"/>
      <c r="AS30" s="495"/>
      <c r="AT30" s="495"/>
      <c r="AU30" s="495"/>
      <c r="AV30" s="495"/>
      <c r="AW30" s="496"/>
      <c r="AX30" s="68"/>
      <c r="AY30" s="69"/>
      <c r="AZ30" s="426"/>
      <c r="BA30" s="72"/>
      <c r="BB30" s="72"/>
      <c r="BC30" s="72"/>
      <c r="BD30" s="72"/>
      <c r="BE30" s="72"/>
      <c r="BF30" s="72"/>
      <c r="BG30" s="72"/>
      <c r="BH30" s="72"/>
      <c r="BI30" s="72"/>
      <c r="BJ30" s="72"/>
      <c r="BK30" s="72"/>
      <c r="BL30" s="72"/>
      <c r="BM30" s="72"/>
      <c r="BN30" s="72"/>
      <c r="BO30" s="73"/>
      <c r="BP30" s="73"/>
      <c r="BQ30" s="73"/>
      <c r="BR30" s="73"/>
      <c r="BS30" s="73"/>
      <c r="BT30" s="427"/>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row>
    <row r="31" spans="2:131" s="74" customFormat="1" ht="13.5" customHeight="1">
      <c r="B31" s="491" t="str">
        <f t="shared" ref="B31:B37" si="0">IF($C$28=C31,"X","")</f>
        <v/>
      </c>
      <c r="C31" s="79" t="str">
        <f>'TWW-DIM'!BO8</f>
        <v>Wohngebäude</v>
      </c>
      <c r="D31" s="79"/>
      <c r="E31" s="79"/>
      <c r="F31" s="79"/>
      <c r="G31" s="79"/>
      <c r="H31" s="79"/>
      <c r="I31" s="79"/>
      <c r="J31" s="79"/>
      <c r="K31" s="79"/>
      <c r="L31" s="79"/>
      <c r="M31" s="79"/>
      <c r="N31" s="1409">
        <v>1.48</v>
      </c>
      <c r="O31" s="1410"/>
      <c r="P31" s="1409">
        <v>0.19</v>
      </c>
      <c r="Q31" s="1411"/>
      <c r="R31" s="1410">
        <v>0.94</v>
      </c>
      <c r="S31" s="1412"/>
      <c r="T31" s="1413">
        <f>P24</f>
        <v>0</v>
      </c>
      <c r="U31" s="1414"/>
      <c r="V31" s="1415"/>
      <c r="W31" s="1419">
        <f>N31*(T31^P31)-R31</f>
        <v>-0.94</v>
      </c>
      <c r="X31" s="1420"/>
      <c r="Y31" s="1421"/>
      <c r="Z31" s="1422">
        <f>IF(T31=0,0,(W31/$T$31)*100)</f>
        <v>0</v>
      </c>
      <c r="AA31" s="1423"/>
      <c r="AB31" s="1424">
        <f t="shared" ref="AB31:AB37" si="1">W31*4.1868*($I$25-$N$14)</f>
        <v>39.355919999999998</v>
      </c>
      <c r="AC31" s="1425"/>
      <c r="AE31" s="80"/>
      <c r="AF31" s="79"/>
      <c r="AG31" s="79"/>
      <c r="AH31" s="79"/>
      <c r="AI31" s="79"/>
      <c r="AJ31" s="79"/>
      <c r="AK31" s="79"/>
      <c r="AL31" s="79"/>
      <c r="AM31" s="495"/>
      <c r="AN31" s="495"/>
      <c r="AO31" s="495"/>
      <c r="AP31" s="495"/>
      <c r="AQ31" s="495"/>
      <c r="AR31" s="495"/>
      <c r="AS31" s="495"/>
      <c r="AT31" s="495"/>
      <c r="AU31" s="495"/>
      <c r="AV31" s="495"/>
      <c r="AW31" s="496"/>
      <c r="AX31" s="68"/>
      <c r="AY31" s="69"/>
      <c r="AZ31" s="426"/>
      <c r="BA31" s="72"/>
      <c r="BB31" s="72"/>
      <c r="BC31" s="72"/>
      <c r="BD31" s="72"/>
      <c r="BE31" s="72"/>
      <c r="BF31" s="72"/>
      <c r="BG31" s="72"/>
      <c r="BH31" s="72"/>
      <c r="BI31" s="72"/>
      <c r="BJ31" s="72"/>
      <c r="BK31" s="72"/>
      <c r="BL31" s="72"/>
      <c r="BM31" s="72"/>
      <c r="BN31" s="72"/>
      <c r="BO31" s="73"/>
      <c r="BP31" s="73"/>
      <c r="BQ31" s="73"/>
      <c r="BR31" s="73"/>
      <c r="BS31" s="73"/>
      <c r="BT31" s="427"/>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row>
    <row r="32" spans="2:131" s="74" customFormat="1" ht="13.5" customHeight="1">
      <c r="B32" s="414" t="str">
        <f t="shared" si="0"/>
        <v/>
      </c>
      <c r="C32" s="336" t="str">
        <f>'TWW-DIM'!BO9</f>
        <v>Bettenhaus im Krankenhaus</v>
      </c>
      <c r="D32" s="81"/>
      <c r="E32" s="81"/>
      <c r="F32" s="81"/>
      <c r="G32" s="81"/>
      <c r="H32" s="81"/>
      <c r="I32" s="81"/>
      <c r="J32" s="81"/>
      <c r="K32" s="81"/>
      <c r="L32" s="81"/>
      <c r="M32" s="81"/>
      <c r="N32" s="1426">
        <v>0.75</v>
      </c>
      <c r="O32" s="1427"/>
      <c r="P32" s="1426">
        <v>0.44</v>
      </c>
      <c r="Q32" s="1428"/>
      <c r="R32" s="1427">
        <v>0.18</v>
      </c>
      <c r="S32" s="1429"/>
      <c r="T32" s="1413"/>
      <c r="U32" s="1414"/>
      <c r="V32" s="1415"/>
      <c r="W32" s="1430">
        <f>N32*(T31^P32)-R32</f>
        <v>-0.18</v>
      </c>
      <c r="X32" s="1431"/>
      <c r="Y32" s="1432"/>
      <c r="Z32" s="1433">
        <f>IF(T31=0,0,(W32/$T$31)*100)</f>
        <v>0</v>
      </c>
      <c r="AA32" s="1434"/>
      <c r="AB32" s="1435">
        <f t="shared" si="1"/>
        <v>7.5362399999999994</v>
      </c>
      <c r="AC32" s="1436"/>
      <c r="AE32" s="80"/>
      <c r="AF32" s="79"/>
      <c r="AG32" s="79"/>
      <c r="AH32" s="79"/>
      <c r="AI32" s="79"/>
      <c r="AJ32" s="79"/>
      <c r="AK32" s="79"/>
      <c r="AL32" s="79"/>
      <c r="AM32" s="495"/>
      <c r="AN32" s="495"/>
      <c r="AO32" s="495"/>
      <c r="AP32" s="495"/>
      <c r="AQ32" s="495"/>
      <c r="AR32" s="495"/>
      <c r="AS32" s="495"/>
      <c r="AT32" s="495"/>
      <c r="AU32" s="495"/>
      <c r="AV32" s="495"/>
      <c r="AW32" s="496"/>
      <c r="AX32" s="68"/>
      <c r="AY32" s="69"/>
      <c r="AZ32" s="426"/>
      <c r="BA32" s="72"/>
      <c r="BB32" s="72"/>
      <c r="BC32" s="72"/>
      <c r="BD32" s="72"/>
      <c r="BE32" s="72"/>
      <c r="BF32" s="72"/>
      <c r="BG32" s="72"/>
      <c r="BH32" s="72"/>
      <c r="BI32" s="72"/>
      <c r="BJ32" s="72"/>
      <c r="BK32" s="72"/>
      <c r="BL32" s="72"/>
      <c r="BM32" s="72"/>
      <c r="BN32" s="72"/>
      <c r="BO32" s="73"/>
      <c r="BP32" s="73"/>
      <c r="BQ32" s="73"/>
      <c r="BR32" s="73"/>
      <c r="BS32" s="73"/>
      <c r="BT32" s="427"/>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row>
    <row r="33" spans="1:131" s="74" customFormat="1" ht="13.5" customHeight="1">
      <c r="B33" s="414" t="str">
        <f t="shared" si="0"/>
        <v>X</v>
      </c>
      <c r="C33" s="336" t="str">
        <f>'TWW-DIM'!BO10</f>
        <v>Hotel-Standard</v>
      </c>
      <c r="D33" s="81"/>
      <c r="E33" s="81"/>
      <c r="F33" s="81"/>
      <c r="G33" s="81"/>
      <c r="H33" s="81"/>
      <c r="I33" s="81"/>
      <c r="J33" s="81"/>
      <c r="K33" s="81"/>
      <c r="L33" s="81"/>
      <c r="M33" s="81"/>
      <c r="N33" s="1426">
        <v>0.7</v>
      </c>
      <c r="O33" s="1427"/>
      <c r="P33" s="1426">
        <v>0.48</v>
      </c>
      <c r="Q33" s="1428"/>
      <c r="R33" s="1427">
        <v>0.13</v>
      </c>
      <c r="S33" s="1429"/>
      <c r="T33" s="1413"/>
      <c r="U33" s="1414"/>
      <c r="V33" s="1415"/>
      <c r="W33" s="1430">
        <f>N33*(T31^P33)-R33</f>
        <v>-0.13</v>
      </c>
      <c r="X33" s="1431"/>
      <c r="Y33" s="1432"/>
      <c r="Z33" s="1433">
        <f>IF(T31=0,0,(W33/$T$31)*100)</f>
        <v>0</v>
      </c>
      <c r="AA33" s="1434"/>
      <c r="AB33" s="1435">
        <f t="shared" si="1"/>
        <v>5.4428400000000003</v>
      </c>
      <c r="AC33" s="1436"/>
      <c r="AE33" s="80"/>
      <c r="AF33" s="79"/>
      <c r="AG33" s="79"/>
      <c r="AH33" s="79"/>
      <c r="AI33" s="79"/>
      <c r="AJ33" s="79"/>
      <c r="AK33" s="79"/>
      <c r="AL33" s="79"/>
      <c r="AM33" s="495"/>
      <c r="AN33" s="495"/>
      <c r="AO33" s="495"/>
      <c r="AP33" s="495"/>
      <c r="AQ33" s="495"/>
      <c r="AR33" s="495"/>
      <c r="AS33" s="495"/>
      <c r="AT33" s="495"/>
      <c r="AU33" s="495"/>
      <c r="AV33" s="495"/>
      <c r="AW33" s="496"/>
      <c r="AX33" s="68"/>
      <c r="AY33" s="69"/>
      <c r="AZ33" s="426"/>
      <c r="BA33" s="72"/>
      <c r="BB33" s="72"/>
      <c r="BC33" s="72"/>
      <c r="BD33" s="72"/>
      <c r="BE33" s="72"/>
      <c r="BF33" s="72"/>
      <c r="BG33" s="72"/>
      <c r="BH33" s="72"/>
      <c r="BI33" s="72"/>
      <c r="BJ33" s="72"/>
      <c r="BK33" s="72"/>
      <c r="BL33" s="72"/>
      <c r="BM33" s="72"/>
      <c r="BN33" s="72"/>
      <c r="BO33" s="73"/>
      <c r="BP33" s="73"/>
      <c r="BQ33" s="73"/>
      <c r="BR33" s="73"/>
      <c r="BS33" s="73"/>
      <c r="BT33" s="427"/>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row>
    <row r="34" spans="1:131" s="74" customFormat="1" ht="13.5" customHeight="1">
      <c r="B34" s="414" t="str">
        <f t="shared" si="0"/>
        <v/>
      </c>
      <c r="C34" s="336" t="str">
        <f>'TWW-DIM'!BO11</f>
        <v>Schule-Standard</v>
      </c>
      <c r="D34" s="81"/>
      <c r="E34" s="81"/>
      <c r="F34" s="81"/>
      <c r="G34" s="81"/>
      <c r="H34" s="81"/>
      <c r="I34" s="81"/>
      <c r="J34" s="81"/>
      <c r="K34" s="81"/>
      <c r="L34" s="81"/>
      <c r="M34" s="81"/>
      <c r="N34" s="1426">
        <v>0.91</v>
      </c>
      <c r="O34" s="1427"/>
      <c r="P34" s="1426">
        <v>0.31</v>
      </c>
      <c r="Q34" s="1428"/>
      <c r="R34" s="1427">
        <v>0.38</v>
      </c>
      <c r="S34" s="1429"/>
      <c r="T34" s="1413"/>
      <c r="U34" s="1414"/>
      <c r="V34" s="1415"/>
      <c r="W34" s="1430">
        <f>N34*(T31^P34)-R34</f>
        <v>-0.38</v>
      </c>
      <c r="X34" s="1431"/>
      <c r="Y34" s="1432"/>
      <c r="Z34" s="1433">
        <f>IF(T31=0,0,(W34/$T$31)*100)</f>
        <v>0</v>
      </c>
      <c r="AA34" s="1434"/>
      <c r="AB34" s="1435">
        <f t="shared" si="1"/>
        <v>15.909839999999999</v>
      </c>
      <c r="AC34" s="1436"/>
      <c r="AE34" s="80"/>
      <c r="AF34" s="79"/>
      <c r="AG34" s="79"/>
      <c r="AH34" s="79"/>
      <c r="AI34" s="79"/>
      <c r="AJ34" s="79"/>
      <c r="AK34" s="79"/>
      <c r="AL34" s="79"/>
      <c r="AM34" s="495"/>
      <c r="AN34" s="495"/>
      <c r="AO34" s="495"/>
      <c r="AP34" s="495"/>
      <c r="AQ34" s="495"/>
      <c r="AR34" s="495"/>
      <c r="AS34" s="495"/>
      <c r="AT34" s="495"/>
      <c r="AU34" s="495"/>
      <c r="AV34" s="495"/>
      <c r="AW34" s="496"/>
      <c r="AX34" s="68"/>
      <c r="AY34" s="69"/>
      <c r="AZ34" s="426"/>
      <c r="BA34" s="72"/>
      <c r="BB34" s="72"/>
      <c r="BC34" s="72"/>
      <c r="BD34" s="72"/>
      <c r="BE34" s="72"/>
      <c r="BF34" s="72"/>
      <c r="BG34" s="72"/>
      <c r="BH34" s="72"/>
      <c r="BI34" s="72"/>
      <c r="BJ34" s="72"/>
      <c r="BK34" s="72"/>
      <c r="BL34" s="72"/>
      <c r="BM34" s="72"/>
      <c r="BN34" s="72"/>
      <c r="BO34" s="73"/>
      <c r="BP34" s="73"/>
      <c r="BQ34" s="73"/>
      <c r="BR34" s="73"/>
      <c r="BS34" s="73"/>
      <c r="BT34" s="427"/>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row>
    <row r="35" spans="1:131" s="74" customFormat="1" ht="13.5" customHeight="1">
      <c r="B35" s="414" t="str">
        <f t="shared" si="0"/>
        <v/>
      </c>
      <c r="C35" s="336" t="str">
        <f>'TWW-DIM'!BO12</f>
        <v>Verwaltungsgebäude</v>
      </c>
      <c r="D35" s="81"/>
      <c r="E35" s="81"/>
      <c r="F35" s="81"/>
      <c r="G35" s="81"/>
      <c r="H35" s="81"/>
      <c r="I35" s="81"/>
      <c r="J35" s="81"/>
      <c r="K35" s="81"/>
      <c r="L35" s="81"/>
      <c r="M35" s="81"/>
      <c r="N35" s="1426">
        <v>0.91</v>
      </c>
      <c r="O35" s="1427"/>
      <c r="P35" s="1426">
        <v>0.31</v>
      </c>
      <c r="Q35" s="1428"/>
      <c r="R35" s="1427">
        <v>0.38</v>
      </c>
      <c r="S35" s="1429"/>
      <c r="T35" s="1413"/>
      <c r="U35" s="1414"/>
      <c r="V35" s="1415"/>
      <c r="W35" s="1430">
        <f>N35*T31^P35-R35</f>
        <v>-0.38</v>
      </c>
      <c r="X35" s="1431"/>
      <c r="Y35" s="1432"/>
      <c r="Z35" s="1433">
        <f>IF(T31=0,0,(W35/$T$31)*100)</f>
        <v>0</v>
      </c>
      <c r="AA35" s="1434"/>
      <c r="AB35" s="1435">
        <f t="shared" si="1"/>
        <v>15.909839999999999</v>
      </c>
      <c r="AC35" s="1436"/>
      <c r="AE35" s="80"/>
      <c r="AF35" s="79"/>
      <c r="AG35" s="79"/>
      <c r="AH35" s="79"/>
      <c r="AI35" s="79"/>
      <c r="AJ35" s="79"/>
      <c r="AK35" s="79"/>
      <c r="AL35" s="326"/>
      <c r="AM35" s="495"/>
      <c r="AN35" s="495"/>
      <c r="AO35" s="495"/>
      <c r="AP35" s="495"/>
      <c r="AQ35" s="495"/>
      <c r="AR35" s="495"/>
      <c r="AS35" s="495"/>
      <c r="AT35" s="495"/>
      <c r="AU35" s="495"/>
      <c r="AV35" s="495"/>
      <c r="AW35" s="496"/>
      <c r="AX35" s="68"/>
      <c r="AY35" s="69"/>
      <c r="AZ35" s="426"/>
      <c r="BA35" s="72"/>
      <c r="BB35" s="72"/>
      <c r="BC35" s="72"/>
      <c r="BD35" s="72"/>
      <c r="BE35" s="72"/>
      <c r="BF35" s="72"/>
      <c r="BG35" s="72"/>
      <c r="BH35" s="72"/>
      <c r="BI35" s="72"/>
      <c r="BJ35" s="72"/>
      <c r="BK35" s="72"/>
      <c r="BL35" s="72"/>
      <c r="BM35" s="72"/>
      <c r="BN35" s="72"/>
      <c r="BO35" s="73"/>
      <c r="BP35" s="73"/>
      <c r="BQ35" s="73"/>
      <c r="BR35" s="73"/>
      <c r="BS35" s="73"/>
      <c r="BT35" s="427"/>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row>
    <row r="36" spans="1:131" s="74" customFormat="1" ht="13.5" customHeight="1">
      <c r="B36" s="414" t="str">
        <f t="shared" si="0"/>
        <v/>
      </c>
      <c r="C36" s="336" t="str">
        <f>'TWW-DIM'!BO13</f>
        <v>Pflegeheim</v>
      </c>
      <c r="D36" s="81"/>
      <c r="E36" s="81"/>
      <c r="F36" s="81"/>
      <c r="G36" s="81"/>
      <c r="H36" s="81"/>
      <c r="I36" s="81"/>
      <c r="J36" s="81"/>
      <c r="K36" s="81"/>
      <c r="L36" s="81"/>
      <c r="M36" s="81"/>
      <c r="N36" s="1426">
        <v>1.48</v>
      </c>
      <c r="O36" s="1427"/>
      <c r="P36" s="1426">
        <v>0.19</v>
      </c>
      <c r="Q36" s="1428"/>
      <c r="R36" s="1427">
        <v>0.94</v>
      </c>
      <c r="S36" s="1429"/>
      <c r="T36" s="1413"/>
      <c r="U36" s="1414"/>
      <c r="V36" s="1415"/>
      <c r="W36" s="1430">
        <f>N36*T31^P36-R36</f>
        <v>-0.94</v>
      </c>
      <c r="X36" s="1431"/>
      <c r="Y36" s="1432"/>
      <c r="Z36" s="1433">
        <f>IF(T31=0,0,((W36/$T$31)*100))</f>
        <v>0</v>
      </c>
      <c r="AA36" s="1434"/>
      <c r="AB36" s="1435">
        <f t="shared" si="1"/>
        <v>39.355919999999998</v>
      </c>
      <c r="AC36" s="1436"/>
      <c r="AE36" s="80"/>
      <c r="AF36" s="79"/>
      <c r="AG36" s="79"/>
      <c r="AH36" s="79"/>
      <c r="AI36" s="79"/>
      <c r="AJ36" s="79"/>
      <c r="AK36" s="79"/>
      <c r="AL36" s="326"/>
      <c r="AM36" s="495"/>
      <c r="AN36" s="495"/>
      <c r="AO36" s="495"/>
      <c r="AP36" s="495"/>
      <c r="AQ36" s="495"/>
      <c r="AR36" s="495"/>
      <c r="AS36" s="495"/>
      <c r="AT36" s="495"/>
      <c r="AU36" s="495"/>
      <c r="AV36" s="495"/>
      <c r="AW36" s="496"/>
      <c r="AX36" s="68"/>
      <c r="AY36" s="69"/>
      <c r="AZ36" s="426"/>
      <c r="BA36" s="72"/>
      <c r="BB36" s="72"/>
      <c r="BC36" s="72"/>
      <c r="BD36" s="72"/>
      <c r="BE36" s="72"/>
      <c r="BF36" s="72"/>
      <c r="BG36" s="72"/>
      <c r="BH36" s="72"/>
      <c r="BI36" s="72"/>
      <c r="BJ36" s="72"/>
      <c r="BK36" s="72"/>
      <c r="BL36" s="72"/>
      <c r="BM36" s="72"/>
      <c r="BN36" s="72"/>
      <c r="BO36" s="73"/>
      <c r="BP36" s="73"/>
      <c r="BQ36" s="73"/>
      <c r="BR36" s="73"/>
      <c r="BS36" s="73"/>
      <c r="BT36" s="427"/>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row>
    <row r="37" spans="1:131" s="74" customFormat="1" ht="13.5" customHeight="1">
      <c r="B37" s="492" t="str">
        <f t="shared" si="0"/>
        <v/>
      </c>
      <c r="C37" s="415" t="str">
        <f>'TWW-DIM'!BO14</f>
        <v>Ausgewählte Entnahmestellen</v>
      </c>
      <c r="D37" s="76"/>
      <c r="E37" s="76"/>
      <c r="F37" s="76"/>
      <c r="G37" s="76"/>
      <c r="H37" s="76"/>
      <c r="I37" s="76"/>
      <c r="J37" s="76"/>
      <c r="K37" s="76"/>
      <c r="L37" s="76"/>
      <c r="M37" s="76"/>
      <c r="N37" s="1441">
        <v>1.4</v>
      </c>
      <c r="O37" s="1442"/>
      <c r="P37" s="1441">
        <v>0.14000000000000001</v>
      </c>
      <c r="Q37" s="1443"/>
      <c r="R37" s="1442">
        <v>0.92</v>
      </c>
      <c r="S37" s="1444"/>
      <c r="T37" s="1416"/>
      <c r="U37" s="1417"/>
      <c r="V37" s="1418"/>
      <c r="W37" s="1445">
        <f>N37*T31^P37-R37</f>
        <v>-0.92</v>
      </c>
      <c r="X37" s="1446"/>
      <c r="Y37" s="1447"/>
      <c r="Z37" s="1448">
        <f>IF(T31=0,0,(W37/$T$31)*100)</f>
        <v>0</v>
      </c>
      <c r="AA37" s="1449"/>
      <c r="AB37" s="1450">
        <f t="shared" si="1"/>
        <v>38.518560000000001</v>
      </c>
      <c r="AC37" s="1451"/>
      <c r="AE37" s="80"/>
      <c r="AF37" s="79"/>
      <c r="AG37" s="79"/>
      <c r="AH37" s="79"/>
      <c r="AI37" s="79"/>
      <c r="AJ37" s="79"/>
      <c r="AK37" s="79"/>
      <c r="AL37" s="326"/>
      <c r="AM37" s="326"/>
      <c r="AN37" s="326"/>
      <c r="AO37" s="326"/>
      <c r="AP37" s="326"/>
      <c r="AQ37" s="326"/>
      <c r="AR37" s="326"/>
      <c r="AS37" s="326"/>
      <c r="AT37" s="326"/>
      <c r="AU37" s="326"/>
      <c r="AV37" s="326"/>
      <c r="AW37" s="327"/>
      <c r="AX37" s="68"/>
      <c r="AY37" s="69"/>
      <c r="AZ37" s="426"/>
      <c r="BA37" s="72"/>
      <c r="BB37" s="72"/>
      <c r="BC37" s="72"/>
      <c r="BD37" s="72"/>
      <c r="BE37" s="72"/>
      <c r="BF37" s="72"/>
      <c r="BG37" s="72"/>
      <c r="BH37" s="72"/>
      <c r="BI37" s="72"/>
      <c r="BJ37" s="72"/>
      <c r="BK37" s="72"/>
      <c r="BL37" s="72"/>
      <c r="BM37" s="72"/>
      <c r="BN37" s="72"/>
      <c r="BO37" s="73"/>
      <c r="BP37" s="73"/>
      <c r="BQ37" s="73"/>
      <c r="BR37" s="73"/>
      <c r="BS37" s="73"/>
      <c r="BT37" s="427"/>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row>
    <row r="38" spans="1:131" s="74" customFormat="1" ht="13.5" customHeight="1">
      <c r="B38" s="1437" t="s">
        <v>61</v>
      </c>
      <c r="C38" s="1438"/>
      <c r="D38" s="1438"/>
      <c r="E38" s="1438"/>
      <c r="F38" s="1438"/>
      <c r="G38" s="1438"/>
      <c r="H38" s="1438"/>
      <c r="I38" s="1438"/>
      <c r="J38" s="1438"/>
      <c r="K38" s="1438"/>
      <c r="L38" s="1438"/>
      <c r="M38" s="1438"/>
      <c r="N38" s="1438"/>
      <c r="O38" s="1438"/>
      <c r="P38" s="1438"/>
      <c r="Q38" s="1438"/>
      <c r="R38" s="1438"/>
      <c r="S38" s="1438"/>
      <c r="T38" s="1438"/>
      <c r="U38" s="1438"/>
      <c r="V38" s="1438"/>
      <c r="W38" s="1438"/>
      <c r="X38" s="1438"/>
      <c r="Y38" s="1438"/>
      <c r="Z38" s="1438"/>
      <c r="AA38" s="1438"/>
      <c r="AB38" s="1438"/>
      <c r="AC38" s="1438"/>
      <c r="AD38" s="79"/>
      <c r="AE38" s="80"/>
      <c r="AF38" s="79"/>
      <c r="AG38" s="79"/>
      <c r="AH38" s="79"/>
      <c r="AI38" s="79"/>
      <c r="AJ38" s="79"/>
      <c r="AK38" s="79"/>
      <c r="AL38" s="326"/>
      <c r="AM38" s="326"/>
      <c r="AN38" s="326"/>
      <c r="AO38" s="326"/>
      <c r="AP38" s="326"/>
      <c r="AQ38" s="326"/>
      <c r="AR38" s="326"/>
      <c r="AS38" s="326"/>
      <c r="AT38" s="326"/>
      <c r="AU38" s="326"/>
      <c r="AV38" s="326"/>
      <c r="AW38" s="327"/>
      <c r="AX38" s="68"/>
      <c r="AY38" s="69"/>
      <c r="AZ38" s="426"/>
      <c r="BA38" s="72"/>
      <c r="BB38" s="72"/>
      <c r="BC38" s="72"/>
      <c r="BD38" s="72"/>
      <c r="BE38" s="72"/>
      <c r="BF38" s="72"/>
      <c r="BG38" s="72"/>
      <c r="BH38" s="72"/>
      <c r="BI38" s="72"/>
      <c r="BJ38" s="72"/>
      <c r="BK38" s="72"/>
      <c r="BL38" s="72"/>
      <c r="BM38" s="72"/>
      <c r="BN38" s="72"/>
      <c r="BO38" s="73"/>
      <c r="BP38" s="73"/>
      <c r="BQ38" s="73"/>
      <c r="BR38" s="73"/>
      <c r="BS38" s="73"/>
      <c r="BT38" s="427"/>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row>
    <row r="39" spans="1:131" s="74" customFormat="1" ht="13.5" customHeight="1">
      <c r="B39" s="1439"/>
      <c r="C39" s="1440"/>
      <c r="D39" s="1440"/>
      <c r="E39" s="1440"/>
      <c r="F39" s="1440"/>
      <c r="G39" s="1440"/>
      <c r="H39" s="1440"/>
      <c r="I39" s="1440"/>
      <c r="J39" s="1440"/>
      <c r="K39" s="1440"/>
      <c r="L39" s="1440"/>
      <c r="M39" s="1440"/>
      <c r="N39" s="1440"/>
      <c r="O39" s="1440"/>
      <c r="P39" s="1440"/>
      <c r="Q39" s="1440"/>
      <c r="R39" s="1440"/>
      <c r="S39" s="1440"/>
      <c r="T39" s="1440"/>
      <c r="U39" s="1440"/>
      <c r="V39" s="1440"/>
      <c r="W39" s="1440"/>
      <c r="X39" s="1440"/>
      <c r="Y39" s="1440"/>
      <c r="Z39" s="1440"/>
      <c r="AA39" s="1440"/>
      <c r="AB39" s="1440"/>
      <c r="AC39" s="1440"/>
      <c r="AD39" s="76"/>
      <c r="AE39" s="77"/>
      <c r="AF39" s="76"/>
      <c r="AG39" s="76"/>
      <c r="AH39" s="76"/>
      <c r="AI39" s="76"/>
      <c r="AJ39" s="76"/>
      <c r="AK39" s="76"/>
      <c r="AL39" s="328"/>
      <c r="AM39" s="328"/>
      <c r="AN39" s="328"/>
      <c r="AO39" s="328"/>
      <c r="AP39" s="328"/>
      <c r="AQ39" s="328"/>
      <c r="AR39" s="328"/>
      <c r="AS39" s="328"/>
      <c r="AT39" s="328"/>
      <c r="AU39" s="328"/>
      <c r="AV39" s="328"/>
      <c r="AW39" s="329"/>
      <c r="AX39" s="68"/>
      <c r="AY39" s="69"/>
      <c r="AZ39" s="428"/>
      <c r="BA39" s="429"/>
      <c r="BB39" s="429"/>
      <c r="BC39" s="429"/>
      <c r="BD39" s="429"/>
      <c r="BE39" s="429"/>
      <c r="BF39" s="429"/>
      <c r="BG39" s="429"/>
      <c r="BH39" s="429"/>
      <c r="BI39" s="429"/>
      <c r="BJ39" s="429"/>
      <c r="BK39" s="429"/>
      <c r="BL39" s="429"/>
      <c r="BM39" s="429"/>
      <c r="BN39" s="429"/>
      <c r="BO39" s="430"/>
      <c r="BP39" s="430"/>
      <c r="BQ39" s="430"/>
      <c r="BR39" s="430"/>
      <c r="BS39" s="430"/>
      <c r="BT39" s="431"/>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row>
    <row r="40" spans="1:131" s="69" customFormat="1" ht="13.5" customHeight="1">
      <c r="A40" s="7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BA40" s="70"/>
      <c r="BB40" s="70"/>
      <c r="BC40" s="70"/>
      <c r="BD40" s="70"/>
      <c r="BE40" s="70"/>
      <c r="BF40" s="70"/>
      <c r="BG40" s="70"/>
      <c r="BH40" s="70"/>
      <c r="BI40" s="70"/>
      <c r="BJ40" s="70"/>
      <c r="BK40" s="70"/>
      <c r="BL40" s="70"/>
      <c r="BM40" s="70"/>
      <c r="BN40" s="70"/>
    </row>
    <row r="41" spans="1:131" s="69" customFormat="1" ht="13.5" customHeight="1">
      <c r="AX41" s="73"/>
      <c r="BA41" s="70"/>
      <c r="BB41" s="70"/>
      <c r="BC41" s="70"/>
      <c r="BD41" s="70"/>
      <c r="BE41" s="70"/>
      <c r="BF41" s="70"/>
      <c r="BG41" s="70"/>
      <c r="BH41" s="70"/>
      <c r="BI41" s="70"/>
      <c r="BJ41" s="70"/>
      <c r="BK41" s="70"/>
      <c r="BL41" s="70"/>
      <c r="BM41" s="70"/>
      <c r="BN41" s="70"/>
    </row>
    <row r="42" spans="1:131" s="69" customFormat="1" ht="13.5" customHeight="1">
      <c r="BA42" s="70"/>
      <c r="BB42" s="70"/>
      <c r="BC42" s="70"/>
      <c r="BD42" s="70"/>
      <c r="BE42" s="70"/>
      <c r="BF42" s="70"/>
      <c r="BG42" s="70"/>
      <c r="BH42" s="70"/>
      <c r="BI42" s="70"/>
      <c r="BJ42" s="70"/>
      <c r="BK42" s="70"/>
      <c r="BL42" s="70"/>
      <c r="BM42" s="70"/>
      <c r="BN42" s="70"/>
    </row>
    <row r="43" spans="1:131" s="69" customFormat="1" ht="13.5" customHeight="1">
      <c r="BA43" s="70"/>
      <c r="BB43" s="70"/>
      <c r="BC43" s="70"/>
      <c r="BD43" s="70"/>
      <c r="BE43" s="70"/>
      <c r="BF43" s="70"/>
      <c r="BG43" s="70"/>
      <c r="BH43" s="70"/>
      <c r="BI43" s="70"/>
      <c r="BJ43" s="70"/>
      <c r="BK43" s="70"/>
      <c r="BL43" s="70"/>
      <c r="BM43" s="70"/>
      <c r="BN43" s="70"/>
    </row>
    <row r="44" spans="1:131" s="69" customFormat="1" ht="13.5" customHeight="1">
      <c r="BA44" s="70"/>
      <c r="BB44" s="70"/>
      <c r="BC44" s="70"/>
      <c r="BD44" s="70"/>
      <c r="BE44" s="70"/>
      <c r="BF44" s="70"/>
      <c r="BG44" s="70"/>
      <c r="BH44" s="70"/>
      <c r="BI44" s="70"/>
      <c r="BJ44" s="70"/>
      <c r="BK44" s="70"/>
      <c r="BL44" s="70"/>
      <c r="BM44" s="70"/>
      <c r="BN44" s="70"/>
    </row>
    <row r="45" spans="1:131" s="69" customFormat="1" ht="13.5" customHeight="1">
      <c r="BA45" s="70"/>
      <c r="BB45" s="70"/>
      <c r="BC45" s="70"/>
      <c r="BD45" s="70"/>
      <c r="BE45" s="70"/>
      <c r="BF45" s="70"/>
      <c r="BG45" s="70"/>
      <c r="BH45" s="70"/>
      <c r="BI45" s="70"/>
      <c r="BJ45" s="70"/>
      <c r="BK45" s="70"/>
      <c r="BL45" s="70"/>
      <c r="BM45" s="70"/>
      <c r="BN45" s="70"/>
    </row>
    <row r="46" spans="1:131" s="69" customFormat="1" ht="13.5" customHeight="1">
      <c r="BA46" s="70"/>
      <c r="BB46" s="70"/>
      <c r="BC46" s="70"/>
      <c r="BD46" s="70"/>
      <c r="BE46" s="70"/>
      <c r="BF46" s="70"/>
      <c r="BG46" s="70"/>
      <c r="BH46" s="70"/>
      <c r="BI46" s="70"/>
      <c r="BJ46" s="70"/>
      <c r="BK46" s="70"/>
      <c r="BL46" s="70"/>
      <c r="BM46" s="70"/>
      <c r="BN46" s="70"/>
    </row>
    <row r="47" spans="1:131" s="69" customFormat="1" ht="13.5" customHeight="1">
      <c r="BA47" s="70"/>
      <c r="BB47" s="70"/>
      <c r="BC47" s="70"/>
      <c r="BD47" s="70"/>
      <c r="BE47" s="70"/>
      <c r="BF47" s="70"/>
      <c r="BG47" s="70"/>
      <c r="BH47" s="70"/>
      <c r="BI47" s="70"/>
      <c r="BJ47" s="70"/>
      <c r="BK47" s="70"/>
      <c r="BL47" s="70"/>
      <c r="BM47" s="70"/>
      <c r="BN47" s="70"/>
    </row>
    <row r="48" spans="1:131" s="69" customFormat="1" ht="13.5" customHeight="1">
      <c r="BA48" s="70"/>
      <c r="BB48" s="70"/>
      <c r="BC48" s="70"/>
      <c r="BD48" s="70"/>
      <c r="BE48" s="70"/>
      <c r="BF48" s="70"/>
      <c r="BG48" s="70"/>
      <c r="BH48" s="70"/>
      <c r="BI48" s="70"/>
      <c r="BJ48" s="70"/>
      <c r="BK48" s="70"/>
      <c r="BL48" s="70"/>
      <c r="BM48" s="70"/>
      <c r="BN48" s="70"/>
    </row>
    <row r="49" spans="3:66" s="69" customFormat="1" ht="13.5" customHeight="1">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row>
    <row r="50" spans="3:66" s="69" customFormat="1" ht="13.5" customHeight="1">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row>
    <row r="51" spans="3:66" s="69" customFormat="1" ht="13.5" customHeight="1">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row>
    <row r="52" spans="3:66" s="69" customFormat="1" ht="13.5" customHeight="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row>
    <row r="53" spans="3:66" s="69" customFormat="1" ht="13.5" customHeight="1">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row>
    <row r="54" spans="3:66" s="69" customFormat="1" ht="13.5" customHeight="1">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3:66" s="69" customFormat="1" ht="13.5" customHeight="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row>
    <row r="56" spans="3:66" s="69" customFormat="1" ht="13.5"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row>
    <row r="57" spans="3:66" s="69" customFormat="1" ht="13.5" customHeight="1">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row>
    <row r="58" spans="3:66" s="69" customFormat="1" ht="13.5"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row>
    <row r="59" spans="3:66" s="69" customFormat="1" ht="13.5" customHeight="1">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row>
    <row r="60" spans="3:66" s="69" customFormat="1" ht="13.5" customHeight="1">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3:66" s="69" customFormat="1" ht="13.5"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3:66" s="69" customFormat="1" ht="13.5" customHeight="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3:66" s="69" customFormat="1" ht="13.5"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3:66" s="69" customFormat="1" ht="13.5" customHeight="1">
      <c r="BA64" s="70"/>
      <c r="BB64" s="70"/>
      <c r="BC64" s="70"/>
      <c r="BD64" s="70"/>
      <c r="BE64" s="70"/>
      <c r="BF64" s="70"/>
      <c r="BG64" s="70"/>
      <c r="BH64" s="70"/>
      <c r="BI64" s="70"/>
      <c r="BJ64" s="70"/>
      <c r="BK64" s="70"/>
      <c r="BL64" s="70"/>
      <c r="BM64" s="70"/>
      <c r="BN64" s="70"/>
    </row>
    <row r="65" spans="53:66" s="69" customFormat="1" ht="13.5" customHeight="1">
      <c r="BA65" s="70"/>
      <c r="BB65" s="70"/>
      <c r="BC65" s="70"/>
      <c r="BD65" s="70"/>
      <c r="BE65" s="70"/>
      <c r="BF65" s="70"/>
      <c r="BG65" s="70"/>
      <c r="BH65" s="70"/>
      <c r="BI65" s="70"/>
      <c r="BJ65" s="70"/>
      <c r="BK65" s="70"/>
      <c r="BL65" s="70"/>
      <c r="BM65" s="70"/>
      <c r="BN65" s="70"/>
    </row>
    <row r="66" spans="53:66" s="69" customFormat="1" ht="13.5" customHeight="1">
      <c r="BA66" s="70"/>
      <c r="BB66" s="70"/>
      <c r="BC66" s="70"/>
      <c r="BD66" s="70"/>
      <c r="BE66" s="70"/>
      <c r="BF66" s="70"/>
      <c r="BG66" s="70"/>
      <c r="BH66" s="70"/>
      <c r="BI66" s="70"/>
      <c r="BJ66" s="70"/>
      <c r="BK66" s="70"/>
      <c r="BL66" s="70"/>
      <c r="BM66" s="70"/>
      <c r="BN66" s="70"/>
    </row>
    <row r="67" spans="53:66" s="69" customFormat="1" ht="13.5" customHeight="1">
      <c r="BA67" s="70"/>
      <c r="BB67" s="70"/>
      <c r="BC67" s="70"/>
      <c r="BD67" s="70"/>
      <c r="BE67" s="70"/>
      <c r="BF67" s="70"/>
      <c r="BG67" s="70"/>
      <c r="BH67" s="70"/>
      <c r="BI67" s="70"/>
      <c r="BJ67" s="70"/>
      <c r="BK67" s="70"/>
      <c r="BL67" s="70"/>
      <c r="BM67" s="70"/>
      <c r="BN67" s="70"/>
    </row>
    <row r="68" spans="53:66" s="69" customFormat="1" ht="13.5" customHeight="1">
      <c r="BA68" s="70"/>
      <c r="BB68" s="70"/>
      <c r="BC68" s="70"/>
      <c r="BD68" s="70"/>
      <c r="BE68" s="70"/>
      <c r="BF68" s="70"/>
      <c r="BG68" s="70"/>
      <c r="BH68" s="70"/>
      <c r="BI68" s="70"/>
      <c r="BJ68" s="70"/>
      <c r="BK68" s="70"/>
      <c r="BL68" s="70"/>
      <c r="BM68" s="70"/>
      <c r="BN68" s="70"/>
    </row>
    <row r="69" spans="53:66" s="69" customFormat="1" ht="13.5" customHeight="1">
      <c r="BA69" s="70"/>
      <c r="BB69" s="70"/>
      <c r="BC69" s="70"/>
      <c r="BD69" s="70"/>
      <c r="BE69" s="70"/>
      <c r="BF69" s="70"/>
      <c r="BG69" s="70"/>
      <c r="BH69" s="70"/>
      <c r="BI69" s="70"/>
      <c r="BJ69" s="70"/>
      <c r="BK69" s="70"/>
      <c r="BL69" s="70"/>
      <c r="BM69" s="70"/>
      <c r="BN69" s="70"/>
    </row>
    <row r="70" spans="53:66" s="69" customFormat="1" ht="13.5" customHeight="1">
      <c r="BA70" s="70"/>
      <c r="BB70" s="70"/>
      <c r="BC70" s="70"/>
      <c r="BD70" s="70"/>
      <c r="BE70" s="70"/>
      <c r="BF70" s="70"/>
      <c r="BG70" s="70"/>
      <c r="BH70" s="70"/>
      <c r="BI70" s="70"/>
      <c r="BJ70" s="70"/>
      <c r="BK70" s="70"/>
      <c r="BL70" s="70"/>
      <c r="BM70" s="70"/>
      <c r="BN70" s="70"/>
    </row>
    <row r="71" spans="53:66" s="69" customFormat="1" ht="13.5" customHeight="1">
      <c r="BA71" s="70"/>
      <c r="BB71" s="70"/>
      <c r="BC71" s="70"/>
      <c r="BD71" s="70"/>
      <c r="BE71" s="70"/>
      <c r="BF71" s="70"/>
      <c r="BG71" s="70"/>
      <c r="BH71" s="70"/>
      <c r="BI71" s="70"/>
      <c r="BJ71" s="70"/>
      <c r="BK71" s="70"/>
      <c r="BL71" s="70"/>
      <c r="BM71" s="70"/>
      <c r="BN71" s="70"/>
    </row>
    <row r="72" spans="53:66" s="69" customFormat="1" ht="13.5" customHeight="1">
      <c r="BA72" s="70"/>
      <c r="BB72" s="70"/>
      <c r="BC72" s="70"/>
      <c r="BD72" s="70"/>
      <c r="BE72" s="70"/>
      <c r="BF72" s="70"/>
      <c r="BG72" s="70"/>
      <c r="BH72" s="70"/>
      <c r="BI72" s="70"/>
      <c r="BJ72" s="70"/>
      <c r="BK72" s="70"/>
      <c r="BL72" s="70"/>
      <c r="BM72" s="70"/>
      <c r="BN72" s="70"/>
    </row>
    <row r="73" spans="53:66" s="69" customFormat="1" ht="13.5" customHeight="1">
      <c r="BA73" s="70"/>
      <c r="BB73" s="70"/>
      <c r="BC73" s="70"/>
      <c r="BD73" s="70"/>
      <c r="BE73" s="70"/>
      <c r="BF73" s="70"/>
      <c r="BG73" s="70"/>
      <c r="BH73" s="70"/>
      <c r="BI73" s="70"/>
      <c r="BJ73" s="70"/>
      <c r="BK73" s="70"/>
      <c r="BL73" s="70"/>
      <c r="BM73" s="70"/>
      <c r="BN73" s="70"/>
    </row>
    <row r="74" spans="53:66" s="69" customFormat="1" ht="13.5" customHeight="1">
      <c r="BA74" s="70"/>
      <c r="BB74" s="70"/>
      <c r="BC74" s="70"/>
      <c r="BD74" s="70"/>
      <c r="BE74" s="70"/>
      <c r="BF74" s="70"/>
      <c r="BG74" s="70"/>
      <c r="BH74" s="70"/>
      <c r="BI74" s="70"/>
      <c r="BJ74" s="70"/>
      <c r="BK74" s="70"/>
      <c r="BL74" s="70"/>
      <c r="BM74" s="70"/>
      <c r="BN74" s="70"/>
    </row>
    <row r="75" spans="53:66" s="69" customFormat="1" ht="13.5" customHeight="1">
      <c r="BA75" s="70"/>
      <c r="BB75" s="70"/>
      <c r="BC75" s="70"/>
      <c r="BD75" s="70"/>
      <c r="BE75" s="70"/>
      <c r="BF75" s="70"/>
      <c r="BG75" s="70"/>
      <c r="BH75" s="70"/>
      <c r="BI75" s="70"/>
      <c r="BJ75" s="70"/>
      <c r="BK75" s="70"/>
      <c r="BL75" s="70"/>
      <c r="BM75" s="70"/>
      <c r="BN75" s="70"/>
    </row>
    <row r="76" spans="53:66" s="69" customFormat="1" ht="13.5" customHeight="1">
      <c r="BA76" s="70"/>
      <c r="BB76" s="70"/>
      <c r="BC76" s="70"/>
      <c r="BD76" s="70"/>
      <c r="BE76" s="70"/>
      <c r="BF76" s="70"/>
      <c r="BG76" s="70"/>
      <c r="BH76" s="70"/>
      <c r="BI76" s="70"/>
      <c r="BJ76" s="70"/>
      <c r="BK76" s="70"/>
      <c r="BL76" s="70"/>
      <c r="BM76" s="70"/>
      <c r="BN76" s="70"/>
    </row>
    <row r="77" spans="53:66" s="69" customFormat="1" ht="13.5" customHeight="1">
      <c r="BA77" s="70"/>
      <c r="BB77" s="70"/>
      <c r="BC77" s="70"/>
      <c r="BD77" s="70"/>
      <c r="BE77" s="70"/>
      <c r="BF77" s="70"/>
      <c r="BG77" s="70"/>
      <c r="BH77" s="70"/>
      <c r="BI77" s="70"/>
      <c r="BJ77" s="70"/>
      <c r="BK77" s="70"/>
      <c r="BL77" s="70"/>
      <c r="BM77" s="70"/>
      <c r="BN77" s="70"/>
    </row>
    <row r="78" spans="53:66" s="69" customFormat="1" ht="13.5" customHeight="1">
      <c r="BA78" s="70"/>
      <c r="BB78" s="70"/>
      <c r="BC78" s="70"/>
      <c r="BD78" s="70"/>
      <c r="BE78" s="70"/>
      <c r="BF78" s="70"/>
      <c r="BG78" s="70"/>
      <c r="BH78" s="70"/>
      <c r="BI78" s="70"/>
      <c r="BJ78" s="70"/>
      <c r="BK78" s="70"/>
      <c r="BL78" s="70"/>
      <c r="BM78" s="70"/>
      <c r="BN78" s="70"/>
    </row>
    <row r="79" spans="53:66" s="69" customFormat="1" ht="13.5" customHeight="1">
      <c r="BA79" s="70"/>
      <c r="BB79" s="70"/>
      <c r="BC79" s="70"/>
      <c r="BD79" s="70"/>
      <c r="BE79" s="70"/>
      <c r="BF79" s="70"/>
      <c r="BG79" s="70"/>
      <c r="BH79" s="70"/>
      <c r="BI79" s="70"/>
      <c r="BJ79" s="70"/>
      <c r="BK79" s="70"/>
      <c r="BL79" s="70"/>
      <c r="BM79" s="70"/>
      <c r="BN79" s="70"/>
    </row>
    <row r="80" spans="53:66" s="69" customFormat="1" ht="13.5" customHeight="1">
      <c r="BA80" s="70"/>
      <c r="BB80" s="70"/>
      <c r="BC80" s="70"/>
      <c r="BD80" s="70"/>
      <c r="BE80" s="70"/>
      <c r="BF80" s="70"/>
      <c r="BG80" s="70"/>
      <c r="BH80" s="70"/>
      <c r="BI80" s="70"/>
      <c r="BJ80" s="70"/>
      <c r="BK80" s="70"/>
      <c r="BL80" s="70"/>
      <c r="BM80" s="70"/>
      <c r="BN80" s="70"/>
    </row>
    <row r="81" spans="53:66" s="69" customFormat="1" ht="13.5" customHeight="1">
      <c r="BA81" s="70"/>
      <c r="BB81" s="70"/>
      <c r="BC81" s="70"/>
      <c r="BD81" s="70"/>
      <c r="BE81" s="70"/>
      <c r="BF81" s="70"/>
      <c r="BG81" s="70"/>
      <c r="BH81" s="70"/>
      <c r="BI81" s="70"/>
      <c r="BJ81" s="70"/>
      <c r="BK81" s="70"/>
      <c r="BL81" s="70"/>
      <c r="BM81" s="70"/>
      <c r="BN81" s="70"/>
    </row>
    <row r="82" spans="53:66" s="69" customFormat="1" ht="13.5" customHeight="1">
      <c r="BA82" s="70"/>
      <c r="BB82" s="70"/>
      <c r="BC82" s="70"/>
      <c r="BD82" s="70"/>
      <c r="BE82" s="70"/>
      <c r="BF82" s="70"/>
      <c r="BG82" s="70"/>
      <c r="BH82" s="70"/>
      <c r="BI82" s="70"/>
      <c r="BJ82" s="70"/>
      <c r="BK82" s="70"/>
      <c r="BL82" s="70"/>
      <c r="BM82" s="70"/>
      <c r="BN82" s="70"/>
    </row>
    <row r="83" spans="53:66" s="69" customFormat="1" ht="13.5" customHeight="1">
      <c r="BA83" s="70"/>
      <c r="BB83" s="70"/>
      <c r="BC83" s="70"/>
      <c r="BD83" s="70"/>
      <c r="BE83" s="70"/>
      <c r="BF83" s="70"/>
      <c r="BG83" s="70"/>
      <c r="BH83" s="70"/>
      <c r="BI83" s="70"/>
      <c r="BJ83" s="70"/>
      <c r="BK83" s="70"/>
      <c r="BL83" s="70"/>
      <c r="BM83" s="70"/>
      <c r="BN83" s="70"/>
    </row>
    <row r="84" spans="53:66" s="69" customFormat="1" ht="13.5" customHeight="1">
      <c r="BA84" s="70"/>
      <c r="BB84" s="70"/>
      <c r="BC84" s="70"/>
      <c r="BD84" s="70"/>
      <c r="BE84" s="70"/>
      <c r="BF84" s="70"/>
      <c r="BG84" s="70"/>
      <c r="BH84" s="70"/>
      <c r="BI84" s="70"/>
      <c r="BJ84" s="70"/>
      <c r="BK84" s="70"/>
      <c r="BL84" s="70"/>
      <c r="BM84" s="70"/>
      <c r="BN84" s="70"/>
    </row>
    <row r="85" spans="53:66" s="69" customFormat="1" ht="13.5" customHeight="1">
      <c r="BA85" s="70"/>
      <c r="BB85" s="70"/>
      <c r="BC85" s="70"/>
      <c r="BD85" s="70"/>
      <c r="BE85" s="70"/>
      <c r="BF85" s="70"/>
      <c r="BG85" s="70"/>
      <c r="BH85" s="70"/>
      <c r="BI85" s="70"/>
      <c r="BJ85" s="70"/>
      <c r="BK85" s="70"/>
      <c r="BL85" s="70"/>
      <c r="BM85" s="70"/>
      <c r="BN85" s="70"/>
    </row>
    <row r="86" spans="53:66" s="69" customFormat="1" ht="13.5" customHeight="1">
      <c r="BA86" s="70"/>
      <c r="BB86" s="70"/>
      <c r="BC86" s="70"/>
      <c r="BD86" s="70"/>
      <c r="BE86" s="70"/>
      <c r="BF86" s="70"/>
      <c r="BG86" s="70"/>
      <c r="BH86" s="70"/>
      <c r="BI86" s="70"/>
      <c r="BJ86" s="70"/>
      <c r="BK86" s="70"/>
      <c r="BL86" s="70"/>
      <c r="BM86" s="70"/>
      <c r="BN86" s="70"/>
    </row>
    <row r="87" spans="53:66" s="69" customFormat="1" ht="13.5" customHeight="1">
      <c r="BA87" s="70"/>
      <c r="BB87" s="70"/>
      <c r="BC87" s="70"/>
      <c r="BD87" s="70"/>
      <c r="BE87" s="70"/>
      <c r="BF87" s="70"/>
      <c r="BG87" s="70"/>
      <c r="BH87" s="70"/>
      <c r="BI87" s="70"/>
      <c r="BJ87" s="70"/>
      <c r="BK87" s="70"/>
      <c r="BL87" s="70"/>
      <c r="BM87" s="70"/>
      <c r="BN87" s="70"/>
    </row>
    <row r="88" spans="53:66" s="69" customFormat="1" ht="13.5" customHeight="1">
      <c r="BA88" s="70"/>
      <c r="BB88" s="70"/>
      <c r="BC88" s="70"/>
      <c r="BD88" s="70"/>
      <c r="BE88" s="70"/>
      <c r="BF88" s="70"/>
      <c r="BG88" s="70"/>
      <c r="BH88" s="70"/>
      <c r="BI88" s="70"/>
      <c r="BJ88" s="70"/>
      <c r="BK88" s="70"/>
      <c r="BL88" s="70"/>
      <c r="BM88" s="70"/>
      <c r="BN88" s="70"/>
    </row>
    <row r="89" spans="53:66" s="69" customFormat="1" ht="13.5" customHeight="1">
      <c r="BA89" s="70"/>
      <c r="BB89" s="70"/>
      <c r="BC89" s="70"/>
      <c r="BD89" s="70"/>
      <c r="BE89" s="70"/>
      <c r="BF89" s="70"/>
      <c r="BG89" s="70"/>
      <c r="BH89" s="70"/>
      <c r="BI89" s="70"/>
      <c r="BJ89" s="70"/>
      <c r="BK89" s="70"/>
      <c r="BL89" s="70"/>
      <c r="BM89" s="70"/>
      <c r="BN89" s="70"/>
    </row>
    <row r="90" spans="53:66" s="69" customFormat="1" ht="13.5" customHeight="1">
      <c r="BA90" s="70"/>
      <c r="BB90" s="70"/>
      <c r="BC90" s="70"/>
      <c r="BD90" s="70"/>
      <c r="BE90" s="70"/>
      <c r="BF90" s="70"/>
      <c r="BG90" s="70"/>
      <c r="BH90" s="70"/>
      <c r="BI90" s="70"/>
      <c r="BJ90" s="70"/>
      <c r="BK90" s="70"/>
      <c r="BL90" s="70"/>
      <c r="BM90" s="70"/>
      <c r="BN90" s="70"/>
    </row>
    <row r="91" spans="53:66" s="69" customFormat="1" ht="13.5" customHeight="1">
      <c r="BA91" s="70"/>
      <c r="BB91" s="70"/>
      <c r="BC91" s="70"/>
      <c r="BD91" s="70"/>
      <c r="BE91" s="70"/>
      <c r="BF91" s="70"/>
      <c r="BG91" s="70"/>
      <c r="BH91" s="70"/>
      <c r="BI91" s="70"/>
      <c r="BJ91" s="70"/>
      <c r="BK91" s="70"/>
      <c r="BL91" s="70"/>
      <c r="BM91" s="70"/>
      <c r="BN91" s="70"/>
    </row>
    <row r="92" spans="53:66" s="69" customFormat="1" ht="13.5" customHeight="1">
      <c r="BA92" s="70"/>
      <c r="BB92" s="70"/>
      <c r="BC92" s="70"/>
      <c r="BD92" s="70"/>
      <c r="BE92" s="70"/>
      <c r="BF92" s="70"/>
      <c r="BG92" s="70"/>
      <c r="BH92" s="70"/>
      <c r="BI92" s="70"/>
      <c r="BJ92" s="70"/>
      <c r="BK92" s="70"/>
      <c r="BL92" s="70"/>
      <c r="BM92" s="70"/>
      <c r="BN92" s="70"/>
    </row>
    <row r="93" spans="53:66" s="69" customFormat="1" ht="13.5" customHeight="1">
      <c r="BA93" s="70"/>
      <c r="BB93" s="70"/>
      <c r="BC93" s="70"/>
      <c r="BD93" s="70"/>
      <c r="BE93" s="70"/>
      <c r="BF93" s="70"/>
      <c r="BG93" s="70"/>
      <c r="BH93" s="70"/>
      <c r="BI93" s="70"/>
      <c r="BJ93" s="70"/>
      <c r="BK93" s="70"/>
      <c r="BL93" s="70"/>
      <c r="BM93" s="70"/>
      <c r="BN93" s="70"/>
    </row>
    <row r="94" spans="53:66" s="69" customFormat="1" ht="13.5" customHeight="1">
      <c r="BA94" s="70"/>
      <c r="BB94" s="70"/>
      <c r="BC94" s="70"/>
      <c r="BD94" s="70"/>
      <c r="BE94" s="70"/>
      <c r="BF94" s="70"/>
      <c r="BG94" s="70"/>
      <c r="BH94" s="70"/>
      <c r="BI94" s="70"/>
      <c r="BJ94" s="70"/>
      <c r="BK94" s="70"/>
      <c r="BL94" s="70"/>
      <c r="BM94" s="70"/>
      <c r="BN94" s="70"/>
    </row>
    <row r="95" spans="53:66" s="69" customFormat="1" ht="13.5" customHeight="1">
      <c r="BA95" s="70"/>
      <c r="BB95" s="70"/>
      <c r="BC95" s="70"/>
      <c r="BD95" s="70"/>
      <c r="BE95" s="70"/>
      <c r="BF95" s="70"/>
      <c r="BG95" s="70"/>
      <c r="BH95" s="70"/>
      <c r="BI95" s="70"/>
      <c r="BJ95" s="70"/>
      <c r="BK95" s="70"/>
      <c r="BL95" s="70"/>
      <c r="BM95" s="70"/>
      <c r="BN95" s="70"/>
    </row>
    <row r="96" spans="53:66" s="69" customFormat="1" ht="13.5" customHeight="1">
      <c r="BA96" s="70"/>
      <c r="BB96" s="70"/>
      <c r="BC96" s="70"/>
      <c r="BD96" s="70"/>
      <c r="BE96" s="70"/>
      <c r="BF96" s="70"/>
      <c r="BG96" s="70"/>
      <c r="BH96" s="70"/>
      <c r="BI96" s="70"/>
      <c r="BJ96" s="70"/>
      <c r="BK96" s="70"/>
      <c r="BL96" s="70"/>
      <c r="BM96" s="70"/>
      <c r="BN96" s="70"/>
    </row>
    <row r="97" spans="53:66" s="69" customFormat="1" ht="13.5" customHeight="1">
      <c r="BA97" s="70"/>
      <c r="BB97" s="70"/>
      <c r="BC97" s="70"/>
      <c r="BD97" s="70"/>
      <c r="BE97" s="70"/>
      <c r="BF97" s="70"/>
      <c r="BG97" s="70"/>
      <c r="BH97" s="70"/>
      <c r="BI97" s="70"/>
      <c r="BJ97" s="70"/>
      <c r="BK97" s="70"/>
      <c r="BL97" s="70"/>
      <c r="BM97" s="70"/>
      <c r="BN97" s="70"/>
    </row>
    <row r="98" spans="53:66" s="69" customFormat="1" ht="13.5" customHeight="1">
      <c r="BA98" s="70"/>
      <c r="BB98" s="70"/>
      <c r="BC98" s="70"/>
      <c r="BD98" s="70"/>
      <c r="BE98" s="70"/>
      <c r="BF98" s="70"/>
      <c r="BG98" s="70"/>
      <c r="BH98" s="70"/>
      <c r="BI98" s="70"/>
      <c r="BJ98" s="70"/>
      <c r="BK98" s="70"/>
      <c r="BL98" s="70"/>
      <c r="BM98" s="70"/>
      <c r="BN98" s="70"/>
    </row>
    <row r="99" spans="53:66" s="69" customFormat="1" ht="13.5" customHeight="1">
      <c r="BA99" s="70"/>
      <c r="BB99" s="70"/>
      <c r="BC99" s="70"/>
      <c r="BD99" s="70"/>
      <c r="BE99" s="70"/>
      <c r="BF99" s="70"/>
      <c r="BG99" s="70"/>
      <c r="BH99" s="70"/>
      <c r="BI99" s="70"/>
      <c r="BJ99" s="70"/>
      <c r="BK99" s="70"/>
      <c r="BL99" s="70"/>
      <c r="BM99" s="70"/>
      <c r="BN99" s="70"/>
    </row>
    <row r="100" spans="53:66" s="69" customFormat="1" ht="13.5" customHeight="1">
      <c r="BA100" s="70"/>
      <c r="BB100" s="70"/>
      <c r="BC100" s="70"/>
      <c r="BD100" s="70"/>
      <c r="BE100" s="70"/>
      <c r="BF100" s="70"/>
      <c r="BG100" s="70"/>
      <c r="BH100" s="70"/>
      <c r="BI100" s="70"/>
      <c r="BJ100" s="70"/>
      <c r="BK100" s="70"/>
      <c r="BL100" s="70"/>
      <c r="BM100" s="70"/>
      <c r="BN100" s="70"/>
    </row>
    <row r="101" spans="53:66" s="69" customFormat="1" ht="13.5" customHeight="1">
      <c r="BA101" s="70"/>
      <c r="BB101" s="70"/>
      <c r="BC101" s="70"/>
      <c r="BD101" s="70"/>
      <c r="BE101" s="70"/>
      <c r="BF101" s="70"/>
      <c r="BG101" s="70"/>
      <c r="BH101" s="70"/>
      <c r="BI101" s="70"/>
      <c r="BJ101" s="70"/>
      <c r="BK101" s="70"/>
      <c r="BL101" s="70"/>
      <c r="BM101" s="70"/>
      <c r="BN101" s="70"/>
    </row>
    <row r="102" spans="53:66" s="69" customFormat="1" ht="13.5" customHeight="1">
      <c r="BA102" s="70"/>
      <c r="BB102" s="70"/>
      <c r="BC102" s="70"/>
      <c r="BD102" s="70"/>
      <c r="BE102" s="70"/>
      <c r="BF102" s="70"/>
      <c r="BG102" s="70"/>
      <c r="BH102" s="70"/>
      <c r="BI102" s="70"/>
      <c r="BJ102" s="70"/>
      <c r="BK102" s="70"/>
      <c r="BL102" s="70"/>
      <c r="BM102" s="70"/>
      <c r="BN102" s="70"/>
    </row>
    <row r="103" spans="53:66" s="69" customFormat="1" ht="13.5" customHeight="1">
      <c r="BA103" s="70"/>
      <c r="BB103" s="70"/>
      <c r="BC103" s="70"/>
      <c r="BD103" s="70"/>
      <c r="BE103" s="70"/>
      <c r="BF103" s="70"/>
      <c r="BG103" s="70"/>
      <c r="BH103" s="70"/>
      <c r="BI103" s="70"/>
      <c r="BJ103" s="70"/>
      <c r="BK103" s="70"/>
      <c r="BL103" s="70"/>
      <c r="BM103" s="70"/>
      <c r="BN103" s="70"/>
    </row>
    <row r="104" spans="53:66" s="69" customFormat="1" ht="13.5" customHeight="1">
      <c r="BA104" s="70"/>
      <c r="BB104" s="70"/>
      <c r="BC104" s="70"/>
      <c r="BD104" s="70"/>
      <c r="BE104" s="70"/>
      <c r="BF104" s="70"/>
      <c r="BG104" s="70"/>
      <c r="BH104" s="70"/>
      <c r="BI104" s="70"/>
      <c r="BJ104" s="70"/>
      <c r="BK104" s="70"/>
      <c r="BL104" s="70"/>
      <c r="BM104" s="70"/>
      <c r="BN104" s="70"/>
    </row>
    <row r="105" spans="53:66" s="69" customFormat="1" ht="13.5" customHeight="1">
      <c r="BA105" s="70"/>
      <c r="BB105" s="70"/>
      <c r="BC105" s="70"/>
      <c r="BD105" s="70"/>
      <c r="BE105" s="70"/>
      <c r="BF105" s="70"/>
      <c r="BG105" s="70"/>
      <c r="BH105" s="70"/>
      <c r="BI105" s="70"/>
      <c r="BJ105" s="70"/>
      <c r="BK105" s="70"/>
      <c r="BL105" s="70"/>
      <c r="BM105" s="70"/>
      <c r="BN105" s="70"/>
    </row>
    <row r="106" spans="53:66" s="69" customFormat="1" ht="13.5" customHeight="1">
      <c r="BA106" s="70"/>
      <c r="BB106" s="70"/>
      <c r="BC106" s="70"/>
      <c r="BD106" s="70"/>
      <c r="BE106" s="70"/>
      <c r="BF106" s="70"/>
      <c r="BG106" s="70"/>
      <c r="BH106" s="70"/>
      <c r="BI106" s="70"/>
      <c r="BJ106" s="70"/>
      <c r="BK106" s="70"/>
      <c r="BL106" s="70"/>
      <c r="BM106" s="70"/>
      <c r="BN106" s="70"/>
    </row>
    <row r="107" spans="53:66" s="69" customFormat="1" ht="13.5" customHeight="1">
      <c r="BA107" s="70"/>
      <c r="BB107" s="70"/>
      <c r="BC107" s="70"/>
      <c r="BD107" s="70"/>
      <c r="BE107" s="70"/>
      <c r="BF107" s="70"/>
      <c r="BG107" s="70"/>
      <c r="BH107" s="70"/>
      <c r="BI107" s="70"/>
      <c r="BJ107" s="70"/>
      <c r="BK107" s="70"/>
      <c r="BL107" s="70"/>
      <c r="BM107" s="70"/>
      <c r="BN107" s="70"/>
    </row>
    <row r="108" spans="53:66" s="69" customFormat="1" ht="13.5" customHeight="1">
      <c r="BA108" s="70"/>
      <c r="BB108" s="70"/>
      <c r="BC108" s="70"/>
      <c r="BD108" s="70"/>
      <c r="BE108" s="70"/>
      <c r="BF108" s="70"/>
      <c r="BG108" s="70"/>
      <c r="BH108" s="70"/>
      <c r="BI108" s="70"/>
      <c r="BJ108" s="70"/>
      <c r="BK108" s="70"/>
      <c r="BL108" s="70"/>
      <c r="BM108" s="70"/>
      <c r="BN108" s="70"/>
    </row>
    <row r="109" spans="53:66" s="69" customFormat="1" ht="13.5" customHeight="1">
      <c r="BA109" s="70"/>
      <c r="BB109" s="70"/>
      <c r="BC109" s="70"/>
      <c r="BD109" s="70"/>
      <c r="BE109" s="70"/>
      <c r="BF109" s="70"/>
      <c r="BG109" s="70"/>
      <c r="BH109" s="70"/>
      <c r="BI109" s="70"/>
      <c r="BJ109" s="70"/>
      <c r="BK109" s="70"/>
      <c r="BL109" s="70"/>
      <c r="BM109" s="70"/>
      <c r="BN109" s="70"/>
    </row>
    <row r="110" spans="53:66" s="69" customFormat="1" ht="13.5" customHeight="1">
      <c r="BA110" s="70"/>
      <c r="BB110" s="70"/>
      <c r="BC110" s="70"/>
      <c r="BD110" s="70"/>
      <c r="BE110" s="70"/>
      <c r="BF110" s="70"/>
      <c r="BG110" s="70"/>
      <c r="BH110" s="70"/>
      <c r="BI110" s="70"/>
      <c r="BJ110" s="70"/>
      <c r="BK110" s="70"/>
      <c r="BL110" s="70"/>
      <c r="BM110" s="70"/>
      <c r="BN110" s="70"/>
    </row>
    <row r="111" spans="53:66" s="69" customFormat="1" ht="13.5" customHeight="1">
      <c r="BA111" s="70"/>
      <c r="BB111" s="70"/>
      <c r="BC111" s="70"/>
      <c r="BD111" s="70"/>
      <c r="BE111" s="70"/>
      <c r="BF111" s="70"/>
      <c r="BG111" s="70"/>
      <c r="BH111" s="70"/>
      <c r="BI111" s="70"/>
      <c r="BJ111" s="70"/>
      <c r="BK111" s="70"/>
      <c r="BL111" s="70"/>
      <c r="BM111" s="70"/>
      <c r="BN111" s="70"/>
    </row>
    <row r="112" spans="53:66" s="69" customFormat="1" ht="13.5" customHeight="1">
      <c r="BA112" s="70"/>
      <c r="BB112" s="70"/>
      <c r="BC112" s="70"/>
      <c r="BD112" s="70"/>
      <c r="BE112" s="70"/>
      <c r="BF112" s="70"/>
      <c r="BG112" s="70"/>
      <c r="BH112" s="70"/>
      <c r="BI112" s="70"/>
      <c r="BJ112" s="70"/>
      <c r="BK112" s="70"/>
      <c r="BL112" s="70"/>
      <c r="BM112" s="70"/>
      <c r="BN112" s="70"/>
    </row>
    <row r="113" spans="53:66" s="69" customFormat="1" ht="13.5" customHeight="1">
      <c r="BA113" s="70"/>
      <c r="BB113" s="70"/>
      <c r="BC113" s="70"/>
      <c r="BD113" s="70"/>
      <c r="BE113" s="70"/>
      <c r="BF113" s="70"/>
      <c r="BG113" s="70"/>
      <c r="BH113" s="70"/>
      <c r="BI113" s="70"/>
      <c r="BJ113" s="70"/>
      <c r="BK113" s="70"/>
      <c r="BL113" s="70"/>
      <c r="BM113" s="70"/>
      <c r="BN113" s="70"/>
    </row>
    <row r="114" spans="53:66" s="69" customFormat="1" ht="13.5" customHeight="1">
      <c r="BA114" s="70"/>
      <c r="BB114" s="70"/>
      <c r="BC114" s="70"/>
      <c r="BD114" s="70"/>
      <c r="BE114" s="70"/>
      <c r="BF114" s="70"/>
      <c r="BG114" s="70"/>
      <c r="BH114" s="70"/>
      <c r="BI114" s="70"/>
      <c r="BJ114" s="70"/>
      <c r="BK114" s="70"/>
      <c r="BL114" s="70"/>
      <c r="BM114" s="70"/>
      <c r="BN114" s="70"/>
    </row>
    <row r="115" spans="53:66" s="69" customFormat="1" ht="13.5" customHeight="1">
      <c r="BA115" s="70"/>
      <c r="BB115" s="70"/>
      <c r="BC115" s="70"/>
      <c r="BD115" s="70"/>
      <c r="BE115" s="70"/>
      <c r="BF115" s="70"/>
      <c r="BG115" s="70"/>
      <c r="BH115" s="70"/>
      <c r="BI115" s="70"/>
      <c r="BJ115" s="70"/>
      <c r="BK115" s="70"/>
      <c r="BL115" s="70"/>
      <c r="BM115" s="70"/>
      <c r="BN115" s="70"/>
    </row>
    <row r="116" spans="53:66" s="69" customFormat="1" ht="13.5" customHeight="1">
      <c r="BA116" s="70"/>
      <c r="BB116" s="70"/>
      <c r="BC116" s="70"/>
      <c r="BD116" s="70"/>
      <c r="BE116" s="70"/>
      <c r="BF116" s="70"/>
      <c r="BG116" s="70"/>
      <c r="BH116" s="70"/>
      <c r="BI116" s="70"/>
      <c r="BJ116" s="70"/>
      <c r="BK116" s="70"/>
      <c r="BL116" s="70"/>
      <c r="BM116" s="70"/>
      <c r="BN116" s="70"/>
    </row>
    <row r="117" spans="53:66" s="69" customFormat="1" ht="13.5" customHeight="1">
      <c r="BA117" s="70"/>
      <c r="BB117" s="70"/>
      <c r="BC117" s="70"/>
      <c r="BD117" s="70"/>
      <c r="BE117" s="70"/>
      <c r="BF117" s="70"/>
      <c r="BG117" s="70"/>
      <c r="BH117" s="70"/>
      <c r="BI117" s="70"/>
      <c r="BJ117" s="70"/>
      <c r="BK117" s="70"/>
      <c r="BL117" s="70"/>
      <c r="BM117" s="70"/>
      <c r="BN117" s="70"/>
    </row>
    <row r="118" spans="53:66" s="69" customFormat="1" ht="13.5" customHeight="1">
      <c r="BA118" s="70"/>
      <c r="BB118" s="70"/>
      <c r="BC118" s="70"/>
      <c r="BD118" s="70"/>
      <c r="BE118" s="70"/>
      <c r="BF118" s="70"/>
      <c r="BG118" s="70"/>
      <c r="BH118" s="70"/>
      <c r="BI118" s="70"/>
      <c r="BJ118" s="70"/>
      <c r="BK118" s="70"/>
      <c r="BL118" s="70"/>
      <c r="BM118" s="70"/>
      <c r="BN118" s="70"/>
    </row>
    <row r="119" spans="53:66" s="69" customFormat="1" ht="13.5" customHeight="1">
      <c r="BA119" s="70"/>
      <c r="BB119" s="70"/>
      <c r="BC119" s="70"/>
      <c r="BD119" s="70"/>
      <c r="BE119" s="70"/>
      <c r="BF119" s="70"/>
      <c r="BG119" s="70"/>
      <c r="BH119" s="70"/>
      <c r="BI119" s="70"/>
      <c r="BJ119" s="70"/>
      <c r="BK119" s="70"/>
      <c r="BL119" s="70"/>
      <c r="BM119" s="70"/>
      <c r="BN119" s="70"/>
    </row>
    <row r="120" spans="53:66" s="69" customFormat="1" ht="13.5" customHeight="1">
      <c r="BA120" s="70"/>
      <c r="BB120" s="70"/>
      <c r="BC120" s="70"/>
      <c r="BD120" s="70"/>
      <c r="BE120" s="70"/>
      <c r="BF120" s="70"/>
      <c r="BG120" s="70"/>
      <c r="BH120" s="70"/>
      <c r="BI120" s="70"/>
      <c r="BJ120" s="70"/>
      <c r="BK120" s="70"/>
      <c r="BL120" s="70"/>
      <c r="BM120" s="70"/>
      <c r="BN120" s="70"/>
    </row>
    <row r="121" spans="53:66" s="69" customFormat="1" ht="13.5" customHeight="1">
      <c r="BA121" s="70"/>
      <c r="BB121" s="70"/>
      <c r="BC121" s="70"/>
      <c r="BD121" s="70"/>
      <c r="BE121" s="70"/>
      <c r="BF121" s="70"/>
      <c r="BG121" s="70"/>
      <c r="BH121" s="70"/>
      <c r="BI121" s="70"/>
      <c r="BJ121" s="70"/>
      <c r="BK121" s="70"/>
      <c r="BL121" s="70"/>
      <c r="BM121" s="70"/>
      <c r="BN121" s="70"/>
    </row>
    <row r="122" spans="53:66" s="69" customFormat="1" ht="13.5" customHeight="1">
      <c r="BA122" s="70"/>
      <c r="BB122" s="70"/>
      <c r="BC122" s="70"/>
      <c r="BD122" s="70"/>
      <c r="BE122" s="70"/>
      <c r="BF122" s="70"/>
      <c r="BG122" s="70"/>
      <c r="BH122" s="70"/>
      <c r="BI122" s="70"/>
      <c r="BJ122" s="70"/>
      <c r="BK122" s="70"/>
      <c r="BL122" s="70"/>
      <c r="BM122" s="70"/>
      <c r="BN122" s="70"/>
    </row>
    <row r="123" spans="53:66" s="69" customFormat="1" ht="13.5" customHeight="1">
      <c r="BA123" s="70"/>
      <c r="BB123" s="70"/>
      <c r="BC123" s="70"/>
      <c r="BD123" s="70"/>
      <c r="BE123" s="70"/>
      <c r="BF123" s="70"/>
      <c r="BG123" s="70"/>
      <c r="BH123" s="70"/>
      <c r="BI123" s="70"/>
      <c r="BJ123" s="70"/>
      <c r="BK123" s="70"/>
      <c r="BL123" s="70"/>
      <c r="BM123" s="70"/>
      <c r="BN123" s="70"/>
    </row>
    <row r="124" spans="53:66" s="69" customFormat="1" ht="13.5" customHeight="1">
      <c r="BA124" s="70"/>
      <c r="BB124" s="70"/>
      <c r="BC124" s="70"/>
      <c r="BD124" s="70"/>
      <c r="BE124" s="70"/>
      <c r="BF124" s="70"/>
      <c r="BG124" s="70"/>
      <c r="BH124" s="70"/>
      <c r="BI124" s="70"/>
      <c r="BJ124" s="70"/>
      <c r="BK124" s="70"/>
      <c r="BL124" s="70"/>
      <c r="BM124" s="70"/>
      <c r="BN124" s="70"/>
    </row>
    <row r="125" spans="53:66" s="69" customFormat="1" ht="13.5" customHeight="1">
      <c r="BA125" s="70"/>
      <c r="BB125" s="70"/>
      <c r="BC125" s="70"/>
      <c r="BD125" s="70"/>
      <c r="BE125" s="70"/>
      <c r="BF125" s="70"/>
      <c r="BG125" s="70"/>
      <c r="BH125" s="70"/>
      <c r="BI125" s="70"/>
      <c r="BJ125" s="70"/>
      <c r="BK125" s="70"/>
      <c r="BL125" s="70"/>
      <c r="BM125" s="70"/>
      <c r="BN125" s="70"/>
    </row>
    <row r="126" spans="53:66" s="69" customFormat="1" ht="13.5" customHeight="1">
      <c r="BA126" s="70"/>
      <c r="BB126" s="70"/>
      <c r="BC126" s="70"/>
      <c r="BD126" s="70"/>
      <c r="BE126" s="70"/>
      <c r="BF126" s="70"/>
      <c r="BG126" s="70"/>
      <c r="BH126" s="70"/>
      <c r="BI126" s="70"/>
      <c r="BJ126" s="70"/>
      <c r="BK126" s="70"/>
      <c r="BL126" s="70"/>
      <c r="BM126" s="70"/>
      <c r="BN126" s="70"/>
    </row>
  </sheetData>
  <sheetProtection selectLockedCells="1"/>
  <mergeCells count="181">
    <mergeCell ref="AB35:AC35"/>
    <mergeCell ref="AB33:AC33"/>
    <mergeCell ref="W28:Y28"/>
    <mergeCell ref="B38:AC39"/>
    <mergeCell ref="N30:O30"/>
    <mergeCell ref="P30:Q30"/>
    <mergeCell ref="R30:S30"/>
    <mergeCell ref="W30:Y30"/>
    <mergeCell ref="N37:O37"/>
    <mergeCell ref="P37:Q37"/>
    <mergeCell ref="R37:S37"/>
    <mergeCell ref="W37:Y37"/>
    <mergeCell ref="Z37:AA37"/>
    <mergeCell ref="AB37:AC37"/>
    <mergeCell ref="N36:O36"/>
    <mergeCell ref="P36:Q36"/>
    <mergeCell ref="R36:S36"/>
    <mergeCell ref="W36:Y36"/>
    <mergeCell ref="Z36:AA36"/>
    <mergeCell ref="AB36:AC36"/>
    <mergeCell ref="N35:O35"/>
    <mergeCell ref="P35:Q35"/>
    <mergeCell ref="R35:S35"/>
    <mergeCell ref="W35:Y35"/>
    <mergeCell ref="Z35:AA35"/>
    <mergeCell ref="N31:O31"/>
    <mergeCell ref="P31:Q31"/>
    <mergeCell ref="R31:S31"/>
    <mergeCell ref="T31:V37"/>
    <mergeCell ref="W31:Y31"/>
    <mergeCell ref="Z31:AA31"/>
    <mergeCell ref="AB31:AC31"/>
    <mergeCell ref="N32:O32"/>
    <mergeCell ref="P32:Q32"/>
    <mergeCell ref="N34:O34"/>
    <mergeCell ref="P34:Q34"/>
    <mergeCell ref="R34:S34"/>
    <mergeCell ref="W34:Y34"/>
    <mergeCell ref="Z34:AA34"/>
    <mergeCell ref="AB34:AC34"/>
    <mergeCell ref="R32:S32"/>
    <mergeCell ref="W32:Y32"/>
    <mergeCell ref="Z32:AA32"/>
    <mergeCell ref="AB32:AC32"/>
    <mergeCell ref="N33:O33"/>
    <mergeCell ref="P33:Q33"/>
    <mergeCell ref="R33:S33"/>
    <mergeCell ref="W33:Y33"/>
    <mergeCell ref="D17:E17"/>
    <mergeCell ref="G17:H17"/>
    <mergeCell ref="J17:L17"/>
    <mergeCell ref="D24:H25"/>
    <mergeCell ref="P24:R25"/>
    <mergeCell ref="S24:U24"/>
    <mergeCell ref="Z33:AA33"/>
    <mergeCell ref="AB30:AC30"/>
    <mergeCell ref="N29:O29"/>
    <mergeCell ref="P29:Q29"/>
    <mergeCell ref="R29:S29"/>
    <mergeCell ref="T29:V29"/>
    <mergeCell ref="W29:Y29"/>
    <mergeCell ref="Z29:AA29"/>
    <mergeCell ref="AB29:AC29"/>
    <mergeCell ref="T30:V30"/>
    <mergeCell ref="Z30:AA30"/>
    <mergeCell ref="Y23:AA23"/>
    <mergeCell ref="B27:B29"/>
    <mergeCell ref="AB27:AC27"/>
    <mergeCell ref="N28:S28"/>
    <mergeCell ref="T28:V28"/>
    <mergeCell ref="Z28:AA28"/>
    <mergeCell ref="AB28:AC28"/>
    <mergeCell ref="AR24:AT24"/>
    <mergeCell ref="AU24:AW24"/>
    <mergeCell ref="I25:L25"/>
    <mergeCell ref="S25:U25"/>
    <mergeCell ref="V25:X25"/>
    <mergeCell ref="Y25:AA25"/>
    <mergeCell ref="AF25:AI25"/>
    <mergeCell ref="AO25:AQ25"/>
    <mergeCell ref="AR25:AT25"/>
    <mergeCell ref="AU25:AW25"/>
    <mergeCell ref="Y24:AA24"/>
    <mergeCell ref="AC24:AE25"/>
    <mergeCell ref="AF24:AI24"/>
    <mergeCell ref="AJ24:AK25"/>
    <mergeCell ref="AL24:AN25"/>
    <mergeCell ref="V24:X24"/>
    <mergeCell ref="B14:C24"/>
    <mergeCell ref="D19:E19"/>
    <mergeCell ref="AJ23:AK23"/>
    <mergeCell ref="AL23:AN23"/>
    <mergeCell ref="AO23:AQ23"/>
    <mergeCell ref="AR23:AT23"/>
    <mergeCell ref="AU21:AW21"/>
    <mergeCell ref="D22:H22"/>
    <mergeCell ref="D20:H20"/>
    <mergeCell ref="AO24:AQ24"/>
    <mergeCell ref="G23:H23"/>
    <mergeCell ref="J23:L23"/>
    <mergeCell ref="N23:O23"/>
    <mergeCell ref="P23:R23"/>
    <mergeCell ref="S23:U23"/>
    <mergeCell ref="V23:X23"/>
    <mergeCell ref="AL21:AN21"/>
    <mergeCell ref="AO21:AQ21"/>
    <mergeCell ref="AU23:AW23"/>
    <mergeCell ref="I24:L24"/>
    <mergeCell ref="M24:O25"/>
    <mergeCell ref="AZ20:BT21"/>
    <mergeCell ref="D21:E21"/>
    <mergeCell ref="G21:H21"/>
    <mergeCell ref="J21:L21"/>
    <mergeCell ref="N21:O21"/>
    <mergeCell ref="P21:R21"/>
    <mergeCell ref="S21:U21"/>
    <mergeCell ref="V21:X21"/>
    <mergeCell ref="Y21:AA21"/>
    <mergeCell ref="AJ21:AK21"/>
    <mergeCell ref="AR21:AT21"/>
    <mergeCell ref="AL19:AN19"/>
    <mergeCell ref="AO19:AQ19"/>
    <mergeCell ref="AR19:AT19"/>
    <mergeCell ref="AU19:AW19"/>
    <mergeCell ref="G19:H19"/>
    <mergeCell ref="J19:L19"/>
    <mergeCell ref="N19:O19"/>
    <mergeCell ref="P19:R19"/>
    <mergeCell ref="S19:U19"/>
    <mergeCell ref="V19:X19"/>
    <mergeCell ref="Y19:AA19"/>
    <mergeCell ref="AJ19:AK19"/>
    <mergeCell ref="AL17:AN17"/>
    <mergeCell ref="AO17:AQ17"/>
    <mergeCell ref="AR17:AT17"/>
    <mergeCell ref="AU17:AW17"/>
    <mergeCell ref="AZ17:BT18"/>
    <mergeCell ref="N18:O18"/>
    <mergeCell ref="AJ18:AK18"/>
    <mergeCell ref="AL16:AN16"/>
    <mergeCell ref="AO16:AW16"/>
    <mergeCell ref="AJ17:AK17"/>
    <mergeCell ref="N17:O17"/>
    <mergeCell ref="P17:R17"/>
    <mergeCell ref="S17:U17"/>
    <mergeCell ref="V17:X17"/>
    <mergeCell ref="Y17:AA17"/>
    <mergeCell ref="AZ14:BT15"/>
    <mergeCell ref="D15:M15"/>
    <mergeCell ref="P15:R15"/>
    <mergeCell ref="AJ15:AK15"/>
    <mergeCell ref="AL15:AN15"/>
    <mergeCell ref="G16:H16"/>
    <mergeCell ref="I16:M16"/>
    <mergeCell ref="N16:O16"/>
    <mergeCell ref="P16:R16"/>
    <mergeCell ref="S16:AA16"/>
    <mergeCell ref="D14:G14"/>
    <mergeCell ref="N14:O14"/>
    <mergeCell ref="P14:R14"/>
    <mergeCell ref="S14:T14"/>
    <mergeCell ref="AJ16:AK16"/>
    <mergeCell ref="AF2:AJ3"/>
    <mergeCell ref="AK2:AW3"/>
    <mergeCell ref="Z4:AA5"/>
    <mergeCell ref="AB4:AE5"/>
    <mergeCell ref="AJ4:AO4"/>
    <mergeCell ref="AT4:AW4"/>
    <mergeCell ref="AZ4:BT7"/>
    <mergeCell ref="B5:E5"/>
    <mergeCell ref="F5:M5"/>
    <mergeCell ref="O5:P5"/>
    <mergeCell ref="Q5:Y5"/>
    <mergeCell ref="AJ5:AO5"/>
    <mergeCell ref="AT5:AW5"/>
    <mergeCell ref="V7:AW10"/>
    <mergeCell ref="C8:H9"/>
    <mergeCell ref="AZ9:BT12"/>
    <mergeCell ref="AC12:AD12"/>
    <mergeCell ref="AI12:AJ12"/>
    <mergeCell ref="B2:Y4"/>
  </mergeCells>
  <conditionalFormatting sqref="F5:M5 Q5:Y5 AJ4:AO5">
    <cfRule type="cellIs" dxfId="28" priority="33" operator="equal">
      <formula>0</formula>
    </cfRule>
  </conditionalFormatting>
  <conditionalFormatting sqref="D20:R20 D21 F21:R21">
    <cfRule type="expression" dxfId="27" priority="32">
      <formula>$P$21=0</formula>
    </cfRule>
  </conditionalFormatting>
  <conditionalFormatting sqref="D22:R23">
    <cfRule type="expression" dxfId="26" priority="31">
      <formula>$P$23=0</formula>
    </cfRule>
  </conditionalFormatting>
  <conditionalFormatting sqref="S20:U21">
    <cfRule type="expression" dxfId="25" priority="30">
      <formula>$P$21=0</formula>
    </cfRule>
  </conditionalFormatting>
  <conditionalFormatting sqref="S22:U23">
    <cfRule type="expression" dxfId="24" priority="29">
      <formula>$P$23=0</formula>
    </cfRule>
  </conditionalFormatting>
  <conditionalFormatting sqref="V20:X21">
    <cfRule type="expression" dxfId="23" priority="28">
      <formula>$P$21=0</formula>
    </cfRule>
  </conditionalFormatting>
  <conditionalFormatting sqref="V22:X23">
    <cfRule type="expression" dxfId="22" priority="27">
      <formula>$P$23=0</formula>
    </cfRule>
  </conditionalFormatting>
  <conditionalFormatting sqref="Y20:AA21">
    <cfRule type="expression" dxfId="21" priority="26">
      <formula>$P$21=0</formula>
    </cfRule>
  </conditionalFormatting>
  <conditionalFormatting sqref="Y22:AA23">
    <cfRule type="expression" dxfId="20" priority="25">
      <formula>$P$23=0</formula>
    </cfRule>
  </conditionalFormatting>
  <conditionalFormatting sqref="AJ20:AK21">
    <cfRule type="expression" dxfId="19" priority="22">
      <formula>$P$21=0</formula>
    </cfRule>
  </conditionalFormatting>
  <conditionalFormatting sqref="AJ22:AK23">
    <cfRule type="expression" dxfId="18" priority="21">
      <formula>$P$23=0</formula>
    </cfRule>
  </conditionalFormatting>
  <conditionalFormatting sqref="AL20:AN21">
    <cfRule type="expression" dxfId="17" priority="20">
      <formula>$P$21=0</formula>
    </cfRule>
  </conditionalFormatting>
  <conditionalFormatting sqref="AL22:AN23">
    <cfRule type="expression" dxfId="16" priority="19">
      <formula>$P$23=0</formula>
    </cfRule>
  </conditionalFormatting>
  <conditionalFormatting sqref="AO20:AQ21">
    <cfRule type="expression" dxfId="15" priority="18">
      <formula>$P$21=0</formula>
    </cfRule>
  </conditionalFormatting>
  <conditionalFormatting sqref="AO22:AQ23">
    <cfRule type="expression" dxfId="14" priority="17">
      <formula>$P$23=0</formula>
    </cfRule>
  </conditionalFormatting>
  <conditionalFormatting sqref="AR20:AT21">
    <cfRule type="expression" dxfId="13" priority="16">
      <formula>$P$21=0</formula>
    </cfRule>
  </conditionalFormatting>
  <conditionalFormatting sqref="AR22:AT23">
    <cfRule type="expression" dxfId="12" priority="15">
      <formula>$P$23=0</formula>
    </cfRule>
  </conditionalFormatting>
  <conditionalFormatting sqref="AU20:AW21">
    <cfRule type="expression" dxfId="11" priority="14">
      <formula>$P$21=0</formula>
    </cfRule>
  </conditionalFormatting>
  <conditionalFormatting sqref="AU22:AW23">
    <cfRule type="expression" dxfId="10" priority="13">
      <formula>$P$23=0</formula>
    </cfRule>
  </conditionalFormatting>
  <conditionalFormatting sqref="AB28">
    <cfRule type="cellIs" dxfId="9" priority="7" operator="lessThanOrEqual">
      <formula>0</formula>
    </cfRule>
  </conditionalFormatting>
  <conditionalFormatting sqref="AB30">
    <cfRule type="cellIs" dxfId="8" priority="6" operator="lessThanOrEqual">
      <formula>0</formula>
    </cfRule>
  </conditionalFormatting>
  <conditionalFormatting sqref="AB31:AB32">
    <cfRule type="cellIs" dxfId="7" priority="9" operator="lessThanOrEqual">
      <formula>0</formula>
    </cfRule>
  </conditionalFormatting>
  <conditionalFormatting sqref="AB33:AB37">
    <cfRule type="cellIs" dxfId="6" priority="8" operator="lessThanOrEqual">
      <formula>0</formula>
    </cfRule>
  </conditionalFormatting>
  <conditionalFormatting sqref="T31:V37">
    <cfRule type="cellIs" dxfId="5" priority="10" operator="notBetween">
      <formula>$AC$12</formula>
      <formula>$AI$12</formula>
    </cfRule>
  </conditionalFormatting>
  <conditionalFormatting sqref="W30:Y30">
    <cfRule type="cellIs" dxfId="4" priority="5" operator="equal">
      <formula>0</formula>
    </cfRule>
  </conditionalFormatting>
  <conditionalFormatting sqref="Z30:AA30">
    <cfRule type="cellIs" dxfId="3" priority="4" operator="equal">
      <formula>0</formula>
    </cfRule>
  </conditionalFormatting>
  <conditionalFormatting sqref="I25:L25">
    <cfRule type="cellIs" dxfId="2" priority="3" operator="equal">
      <formula>0</formula>
    </cfRule>
  </conditionalFormatting>
  <conditionalFormatting sqref="AF25:AI25">
    <cfRule type="cellIs" dxfId="1" priority="2" operator="equal">
      <formula>0</formula>
    </cfRule>
  </conditionalFormatting>
  <conditionalFormatting sqref="T30:V37">
    <cfRule type="cellIs" dxfId="0" priority="1" operator="equal">
      <formula>0</formula>
    </cfRule>
  </conditionalFormatting>
  <printOptions horizontalCentered="1" verticalCentered="1"/>
  <pageMargins left="0.59055118110236227" right="0.59055118110236227" top="0.78740157480314965"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80"/>
  <sheetViews>
    <sheetView workbookViewId="0">
      <selection activeCell="P5" sqref="P4:P5"/>
    </sheetView>
  </sheetViews>
  <sheetFormatPr baseColWidth="10" defaultRowHeight="13.2"/>
  <cols>
    <col min="2" max="2" width="4.6640625" style="338" customWidth="1"/>
    <col min="3" max="7" width="4.109375" style="338" customWidth="1"/>
    <col min="8" max="8" width="3.6640625" style="338" customWidth="1"/>
    <col min="9" max="9" width="4.5546875" style="338" bestFit="1" customWidth="1"/>
    <col min="10" max="16" width="11.44140625" style="339"/>
  </cols>
  <sheetData>
    <row r="1" spans="2:15">
      <c r="B1" s="337"/>
      <c r="C1" s="1506" t="s">
        <v>111</v>
      </c>
      <c r="D1" s="1506"/>
      <c r="E1" s="1506"/>
      <c r="F1" s="1506"/>
      <c r="J1" s="1517" t="s">
        <v>111</v>
      </c>
      <c r="K1" s="1517"/>
      <c r="L1" s="1517"/>
      <c r="M1" s="1517"/>
      <c r="N1" s="340"/>
      <c r="O1" s="340"/>
    </row>
    <row r="2" spans="2:15" ht="13.8" thickBot="1">
      <c r="C2" s="1507"/>
      <c r="D2" s="1507"/>
      <c r="E2" s="1507"/>
      <c r="F2" s="1507"/>
      <c r="G2" s="341"/>
      <c r="J2" s="1518"/>
      <c r="K2" s="1518"/>
      <c r="L2" s="1518"/>
      <c r="M2" s="1518"/>
      <c r="N2" s="342"/>
      <c r="O2" s="340"/>
    </row>
    <row r="3" spans="2:15">
      <c r="C3" s="1502" t="s">
        <v>112</v>
      </c>
      <c r="D3" s="1503"/>
      <c r="E3" s="1503"/>
      <c r="F3" s="343" t="s">
        <v>191</v>
      </c>
      <c r="G3" s="341"/>
      <c r="J3" s="1519" t="s">
        <v>112</v>
      </c>
      <c r="K3" s="1520"/>
      <c r="L3" s="1520"/>
      <c r="M3" s="347" t="str">
        <f>IF('TWW-DIM'!Q18&lt;60,"","ja")</f>
        <v>ja</v>
      </c>
      <c r="N3" s="342"/>
      <c r="O3" s="340"/>
    </row>
    <row r="4" spans="2:15" ht="13.8" thickBot="1">
      <c r="C4" s="1504"/>
      <c r="D4" s="1505"/>
      <c r="E4" s="1505"/>
      <c r="F4" s="344" t="s">
        <v>54</v>
      </c>
      <c r="G4" s="341"/>
      <c r="J4" s="1521"/>
      <c r="K4" s="1522"/>
      <c r="L4" s="1522"/>
      <c r="M4" s="345" t="s">
        <v>54</v>
      </c>
      <c r="N4" s="342"/>
      <c r="O4" s="340"/>
    </row>
    <row r="5" spans="2:15" ht="13.5" customHeight="1" thickBot="1">
      <c r="E5" s="341"/>
      <c r="F5" s="341"/>
      <c r="G5" s="341"/>
      <c r="J5" s="340"/>
      <c r="K5" s="340"/>
      <c r="L5" s="342"/>
      <c r="M5" s="342"/>
      <c r="N5" s="342"/>
      <c r="O5" s="340"/>
    </row>
    <row r="6" spans="2:15">
      <c r="C6" s="1493" t="s">
        <v>149</v>
      </c>
      <c r="D6" s="1494"/>
      <c r="E6" s="1494"/>
      <c r="F6" s="346">
        <v>38</v>
      </c>
      <c r="G6" s="341"/>
      <c r="J6" s="1508" t="s">
        <v>149</v>
      </c>
      <c r="K6" s="1509"/>
      <c r="L6" s="1509"/>
      <c r="M6" s="347">
        <v>38</v>
      </c>
      <c r="N6" s="342"/>
      <c r="O6" s="340"/>
    </row>
    <row r="7" spans="2:15">
      <c r="C7" s="1496"/>
      <c r="D7" s="1497"/>
      <c r="E7" s="1497"/>
      <c r="F7" s="348">
        <v>42</v>
      </c>
      <c r="G7" s="341"/>
      <c r="J7" s="1511"/>
      <c r="K7" s="1512"/>
      <c r="L7" s="1512"/>
      <c r="M7" s="349">
        <v>42</v>
      </c>
      <c r="N7" s="342"/>
      <c r="O7" s="340"/>
    </row>
    <row r="8" spans="2:15">
      <c r="C8" s="1496"/>
      <c r="D8" s="1497"/>
      <c r="E8" s="1497"/>
      <c r="F8" s="348">
        <v>60</v>
      </c>
      <c r="G8" s="341"/>
      <c r="J8" s="1511"/>
      <c r="K8" s="1512"/>
      <c r="L8" s="1512"/>
      <c r="M8" s="349">
        <v>60</v>
      </c>
      <c r="N8" s="342"/>
      <c r="O8" s="340"/>
    </row>
    <row r="9" spans="2:15">
      <c r="C9" s="1496"/>
      <c r="D9" s="1497"/>
      <c r="E9" s="1497"/>
      <c r="F9" s="348"/>
      <c r="G9" s="341"/>
      <c r="J9" s="1511"/>
      <c r="K9" s="1512"/>
      <c r="L9" s="1512"/>
      <c r="M9" s="349"/>
      <c r="N9" s="342"/>
      <c r="O9" s="340"/>
    </row>
    <row r="10" spans="2:15" ht="13.8" thickBot="1">
      <c r="C10" s="1499"/>
      <c r="D10" s="1500"/>
      <c r="E10" s="1500"/>
      <c r="F10" s="344"/>
      <c r="G10" s="341"/>
      <c r="J10" s="1514"/>
      <c r="K10" s="1515"/>
      <c r="L10" s="1515"/>
      <c r="M10" s="345"/>
      <c r="N10" s="342"/>
      <c r="O10" s="340"/>
    </row>
    <row r="11" spans="2:15" ht="13.8" thickBot="1">
      <c r="E11" s="341"/>
      <c r="F11" s="341"/>
      <c r="G11" s="341"/>
      <c r="J11" s="340"/>
      <c r="K11" s="340"/>
      <c r="L11" s="342"/>
      <c r="M11" s="342"/>
      <c r="N11" s="342"/>
      <c r="O11" s="340"/>
    </row>
    <row r="12" spans="2:15">
      <c r="C12" s="1493" t="s">
        <v>145</v>
      </c>
      <c r="D12" s="1494"/>
      <c r="E12" s="1495"/>
      <c r="F12" s="350">
        <v>30</v>
      </c>
      <c r="G12" s="341"/>
      <c r="J12" s="1508" t="s">
        <v>145</v>
      </c>
      <c r="K12" s="1509"/>
      <c r="L12" s="1510"/>
      <c r="M12" s="351">
        <v>30</v>
      </c>
      <c r="N12" s="342"/>
      <c r="O12" s="340"/>
    </row>
    <row r="13" spans="2:15" ht="13.5" customHeight="1">
      <c r="C13" s="1496"/>
      <c r="D13" s="1497"/>
      <c r="E13" s="1498"/>
      <c r="F13" s="352">
        <v>50</v>
      </c>
      <c r="G13" s="341"/>
      <c r="J13" s="1511"/>
      <c r="K13" s="1512"/>
      <c r="L13" s="1513"/>
      <c r="M13" s="353">
        <v>50</v>
      </c>
      <c r="N13" s="342"/>
      <c r="O13" s="340"/>
    </row>
    <row r="14" spans="2:15">
      <c r="C14" s="1496"/>
      <c r="D14" s="1497"/>
      <c r="E14" s="1498"/>
      <c r="F14" s="352">
        <v>60</v>
      </c>
      <c r="G14" s="341"/>
      <c r="J14" s="1511"/>
      <c r="K14" s="1512"/>
      <c r="L14" s="1513"/>
      <c r="M14" s="353">
        <v>60</v>
      </c>
      <c r="N14" s="342"/>
      <c r="O14" s="340"/>
    </row>
    <row r="15" spans="2:15">
      <c r="C15" s="1496"/>
      <c r="D15" s="1497"/>
      <c r="E15" s="1498"/>
      <c r="F15" s="352">
        <v>80</v>
      </c>
      <c r="G15" s="341"/>
      <c r="J15" s="1511"/>
      <c r="K15" s="1512"/>
      <c r="L15" s="1513"/>
      <c r="M15" s="353">
        <v>80</v>
      </c>
      <c r="N15" s="342"/>
      <c r="O15" s="340"/>
    </row>
    <row r="16" spans="2:15">
      <c r="C16" s="1496"/>
      <c r="D16" s="1497"/>
      <c r="E16" s="1498"/>
      <c r="F16" s="352">
        <v>100</v>
      </c>
      <c r="G16" s="341"/>
      <c r="J16" s="1511"/>
      <c r="K16" s="1512"/>
      <c r="L16" s="1513"/>
      <c r="M16" s="353">
        <v>100</v>
      </c>
      <c r="N16" s="342"/>
      <c r="O16" s="340"/>
    </row>
    <row r="17" spans="3:15" ht="13.8" thickBot="1">
      <c r="C17" s="1499"/>
      <c r="D17" s="1500"/>
      <c r="E17" s="1501"/>
      <c r="F17" s="354">
        <v>150</v>
      </c>
      <c r="G17" s="341"/>
      <c r="J17" s="1514"/>
      <c r="K17" s="1515"/>
      <c r="L17" s="1516"/>
      <c r="M17" s="355">
        <v>150</v>
      </c>
      <c r="N17" s="342"/>
      <c r="O17" s="340"/>
    </row>
    <row r="18" spans="3:15" ht="13.8" thickBot="1">
      <c r="E18" s="15"/>
      <c r="F18" s="15"/>
      <c r="G18" s="341"/>
      <c r="J18" s="340"/>
      <c r="K18" s="340"/>
      <c r="L18" s="356"/>
      <c r="M18" s="356"/>
      <c r="N18" s="342"/>
      <c r="O18" s="340"/>
    </row>
    <row r="19" spans="3:15">
      <c r="C19" s="1493" t="s">
        <v>146</v>
      </c>
      <c r="D19" s="1494"/>
      <c r="E19" s="1495"/>
      <c r="F19" s="350">
        <v>200</v>
      </c>
      <c r="G19" s="341"/>
      <c r="J19" s="1508" t="s">
        <v>146</v>
      </c>
      <c r="K19" s="1509"/>
      <c r="L19" s="1510"/>
      <c r="M19" s="351">
        <v>200</v>
      </c>
      <c r="N19" s="342"/>
      <c r="O19" s="340"/>
    </row>
    <row r="20" spans="3:15">
      <c r="C20" s="1496"/>
      <c r="D20" s="1497"/>
      <c r="E20" s="1498"/>
      <c r="F20" s="352">
        <v>300</v>
      </c>
      <c r="G20" s="341"/>
      <c r="J20" s="1511"/>
      <c r="K20" s="1512"/>
      <c r="L20" s="1513"/>
      <c r="M20" s="353">
        <v>300</v>
      </c>
      <c r="N20" s="342"/>
      <c r="O20" s="340"/>
    </row>
    <row r="21" spans="3:15">
      <c r="C21" s="1496"/>
      <c r="D21" s="1497"/>
      <c r="E21" s="1498"/>
      <c r="F21" s="352">
        <v>400</v>
      </c>
      <c r="G21" s="341"/>
      <c r="J21" s="1511"/>
      <c r="K21" s="1512"/>
      <c r="L21" s="1513"/>
      <c r="M21" s="353">
        <v>400</v>
      </c>
      <c r="N21" s="342"/>
      <c r="O21" s="340"/>
    </row>
    <row r="22" spans="3:15">
      <c r="C22" s="1496"/>
      <c r="D22" s="1497"/>
      <c r="E22" s="1498"/>
      <c r="F22" s="352"/>
      <c r="G22" s="341"/>
      <c r="J22" s="1511"/>
      <c r="K22" s="1512"/>
      <c r="L22" s="1513"/>
      <c r="M22" s="353"/>
      <c r="N22" s="342"/>
      <c r="O22" s="340"/>
    </row>
    <row r="23" spans="3:15">
      <c r="C23" s="1496"/>
      <c r="D23" s="1497"/>
      <c r="E23" s="1498"/>
      <c r="F23" s="352"/>
      <c r="G23" s="341"/>
      <c r="J23" s="1511"/>
      <c r="K23" s="1512"/>
      <c r="L23" s="1513"/>
      <c r="M23" s="353"/>
      <c r="N23" s="342"/>
      <c r="O23" s="340"/>
    </row>
    <row r="24" spans="3:15">
      <c r="C24" s="1496"/>
      <c r="D24" s="1497"/>
      <c r="E24" s="1498"/>
      <c r="F24" s="352"/>
      <c r="G24" s="341"/>
      <c r="J24" s="1511"/>
      <c r="K24" s="1512"/>
      <c r="L24" s="1513"/>
      <c r="M24" s="353"/>
      <c r="N24" s="342"/>
      <c r="O24" s="340"/>
    </row>
    <row r="25" spans="3:15" ht="13.8" thickBot="1">
      <c r="C25" s="1499"/>
      <c r="D25" s="1500"/>
      <c r="E25" s="1501"/>
      <c r="F25" s="354"/>
      <c r="G25" s="341"/>
      <c r="J25" s="1514"/>
      <c r="K25" s="1515"/>
      <c r="L25" s="1516"/>
      <c r="M25" s="355"/>
      <c r="N25" s="342"/>
      <c r="O25" s="340"/>
    </row>
    <row r="26" spans="3:15" ht="13.8" thickBot="1">
      <c r="E26" s="341"/>
      <c r="F26" s="341"/>
      <c r="G26" s="341"/>
      <c r="J26" s="340"/>
      <c r="K26" s="340"/>
      <c r="L26" s="342"/>
      <c r="M26" s="342"/>
      <c r="N26" s="342"/>
      <c r="O26" s="340"/>
    </row>
    <row r="27" spans="3:15">
      <c r="C27" s="1493" t="s">
        <v>147</v>
      </c>
      <c r="D27" s="1494"/>
      <c r="E27" s="1495"/>
      <c r="F27" s="357">
        <v>400</v>
      </c>
      <c r="G27" s="341"/>
      <c r="J27" s="1508" t="s">
        <v>147</v>
      </c>
      <c r="K27" s="1509"/>
      <c r="L27" s="1510"/>
      <c r="M27" s="358">
        <v>400</v>
      </c>
      <c r="N27" s="342"/>
      <c r="O27" s="340"/>
    </row>
    <row r="28" spans="3:15">
      <c r="C28" s="1496"/>
      <c r="D28" s="1497"/>
      <c r="E28" s="1498"/>
      <c r="F28" s="359">
        <v>500</v>
      </c>
      <c r="G28" s="341"/>
      <c r="J28" s="1511"/>
      <c r="K28" s="1512"/>
      <c r="L28" s="1513"/>
      <c r="M28" s="360">
        <v>500</v>
      </c>
      <c r="N28" s="342"/>
      <c r="O28" s="340"/>
    </row>
    <row r="29" spans="3:15">
      <c r="C29" s="1496"/>
      <c r="D29" s="1497"/>
      <c r="E29" s="1498"/>
      <c r="F29" s="359">
        <v>800</v>
      </c>
      <c r="G29" s="341"/>
      <c r="J29" s="1511"/>
      <c r="K29" s="1512"/>
      <c r="L29" s="1513"/>
      <c r="M29" s="360">
        <v>800</v>
      </c>
      <c r="N29" s="342"/>
      <c r="O29" s="340"/>
    </row>
    <row r="30" spans="3:15">
      <c r="C30" s="1496"/>
      <c r="D30" s="1497"/>
      <c r="E30" s="1498"/>
      <c r="F30" s="359">
        <v>1000</v>
      </c>
      <c r="G30" s="341"/>
      <c r="J30" s="1511"/>
      <c r="K30" s="1512"/>
      <c r="L30" s="1513"/>
      <c r="M30" s="360">
        <v>1000</v>
      </c>
      <c r="N30" s="342"/>
      <c r="O30" s="340"/>
    </row>
    <row r="31" spans="3:15">
      <c r="C31" s="1496"/>
      <c r="D31" s="1497"/>
      <c r="E31" s="1498"/>
      <c r="F31" s="359">
        <v>1200</v>
      </c>
      <c r="G31" s="341"/>
      <c r="J31" s="1511"/>
      <c r="K31" s="1512"/>
      <c r="L31" s="1513"/>
      <c r="M31" s="360">
        <v>1200</v>
      </c>
      <c r="N31" s="342"/>
      <c r="O31" s="340"/>
    </row>
    <row r="32" spans="3:15">
      <c r="C32" s="1496"/>
      <c r="D32" s="1497"/>
      <c r="E32" s="1498"/>
      <c r="F32" s="359">
        <v>2000</v>
      </c>
      <c r="G32" s="341"/>
      <c r="J32" s="1511"/>
      <c r="K32" s="1512"/>
      <c r="L32" s="1513"/>
      <c r="M32" s="360">
        <v>2000</v>
      </c>
      <c r="N32" s="342"/>
      <c r="O32" s="340"/>
    </row>
    <row r="33" spans="2:15" ht="13.8" thickBot="1">
      <c r="C33" s="1499"/>
      <c r="D33" s="1500"/>
      <c r="E33" s="1501"/>
      <c r="F33" s="361"/>
      <c r="G33" s="341"/>
      <c r="J33" s="1514"/>
      <c r="K33" s="1515"/>
      <c r="L33" s="1516"/>
      <c r="M33" s="362"/>
      <c r="N33" s="342"/>
      <c r="O33" s="340"/>
    </row>
    <row r="34" spans="2:15" ht="13.8" thickBot="1">
      <c r="E34" s="341"/>
      <c r="F34" s="341"/>
      <c r="G34" s="341"/>
      <c r="J34" s="340"/>
      <c r="K34" s="340"/>
      <c r="L34" s="342"/>
      <c r="M34" s="342"/>
      <c r="N34" s="342"/>
      <c r="O34" s="340"/>
    </row>
    <row r="35" spans="2:15">
      <c r="C35" s="1493" t="s">
        <v>114</v>
      </c>
      <c r="D35" s="1494"/>
      <c r="E35" s="1495"/>
      <c r="F35" s="363">
        <v>24</v>
      </c>
      <c r="G35" s="341"/>
      <c r="J35" s="1508" t="s">
        <v>114</v>
      </c>
      <c r="K35" s="1509"/>
      <c r="L35" s="1510"/>
      <c r="M35" s="364">
        <v>24</v>
      </c>
      <c r="N35" s="342"/>
      <c r="O35" s="340"/>
    </row>
    <row r="36" spans="2:15">
      <c r="B36" s="341"/>
      <c r="C36" s="1496"/>
      <c r="D36" s="1497"/>
      <c r="E36" s="1498"/>
      <c r="F36" s="365">
        <v>35</v>
      </c>
      <c r="G36" s="341"/>
      <c r="J36" s="1511"/>
      <c r="K36" s="1512"/>
      <c r="L36" s="1513"/>
      <c r="M36" s="366">
        <v>35</v>
      </c>
      <c r="N36" s="342"/>
      <c r="O36" s="340"/>
    </row>
    <row r="37" spans="2:15">
      <c r="B37" s="341"/>
      <c r="C37" s="1496"/>
      <c r="D37" s="1497"/>
      <c r="E37" s="1498"/>
      <c r="F37" s="365">
        <v>45</v>
      </c>
      <c r="G37" s="341"/>
      <c r="J37" s="1511"/>
      <c r="K37" s="1512"/>
      <c r="L37" s="1513"/>
      <c r="M37" s="366">
        <v>45</v>
      </c>
      <c r="N37" s="342"/>
      <c r="O37" s="340"/>
    </row>
    <row r="38" spans="2:15">
      <c r="B38" s="341"/>
      <c r="C38" s="1496"/>
      <c r="D38" s="1497"/>
      <c r="E38" s="1498"/>
      <c r="F38" s="365">
        <v>60</v>
      </c>
      <c r="G38" s="341"/>
      <c r="J38" s="1511"/>
      <c r="K38" s="1512"/>
      <c r="L38" s="1513"/>
      <c r="M38" s="366">
        <v>60</v>
      </c>
      <c r="N38" s="342"/>
      <c r="O38" s="340"/>
    </row>
    <row r="39" spans="2:15">
      <c r="B39" s="341"/>
      <c r="C39" s="1496"/>
      <c r="D39" s="1497"/>
      <c r="E39" s="1498"/>
      <c r="F39" s="365">
        <v>80</v>
      </c>
      <c r="G39" s="341"/>
      <c r="J39" s="1511"/>
      <c r="K39" s="1512"/>
      <c r="L39" s="1513"/>
      <c r="M39" s="366">
        <v>80</v>
      </c>
      <c r="N39" s="342"/>
      <c r="O39" s="340"/>
    </row>
    <row r="40" spans="2:15">
      <c r="B40" s="341"/>
      <c r="C40" s="1496"/>
      <c r="D40" s="1497"/>
      <c r="E40" s="1498"/>
      <c r="F40" s="365">
        <v>100</v>
      </c>
      <c r="G40" s="341"/>
      <c r="J40" s="1511"/>
      <c r="K40" s="1512"/>
      <c r="L40" s="1513"/>
      <c r="M40" s="366">
        <v>100</v>
      </c>
      <c r="N40" s="342"/>
      <c r="O40" s="340"/>
    </row>
    <row r="41" spans="2:15">
      <c r="C41" s="1496"/>
      <c r="D41" s="1497"/>
      <c r="E41" s="1498"/>
      <c r="F41" s="365">
        <v>120</v>
      </c>
      <c r="G41" s="341"/>
      <c r="J41" s="1511"/>
      <c r="K41" s="1512"/>
      <c r="L41" s="1513"/>
      <c r="M41" s="366">
        <v>120</v>
      </c>
      <c r="N41" s="342"/>
      <c r="O41" s="340"/>
    </row>
    <row r="42" spans="2:15">
      <c r="C42" s="1496"/>
      <c r="D42" s="1497"/>
      <c r="E42" s="1498"/>
      <c r="F42" s="365">
        <v>150</v>
      </c>
      <c r="G42" s="341"/>
      <c r="J42" s="1511"/>
      <c r="K42" s="1512"/>
      <c r="L42" s="1513"/>
      <c r="M42" s="366">
        <v>150</v>
      </c>
      <c r="N42" s="342"/>
      <c r="O42" s="340"/>
    </row>
    <row r="43" spans="2:15">
      <c r="C43" s="1496"/>
      <c r="D43" s="1497"/>
      <c r="E43" s="1498"/>
      <c r="F43" s="365"/>
      <c r="G43" s="341"/>
      <c r="J43" s="1511"/>
      <c r="K43" s="1512"/>
      <c r="L43" s="1513"/>
      <c r="M43" s="366"/>
      <c r="N43" s="342"/>
      <c r="O43" s="340"/>
    </row>
    <row r="44" spans="2:15" ht="13.8" thickBot="1">
      <c r="C44" s="1499"/>
      <c r="D44" s="1500"/>
      <c r="E44" s="1501"/>
      <c r="F44" s="354">
        <v>500</v>
      </c>
      <c r="G44" s="341"/>
      <c r="J44" s="1514"/>
      <c r="K44" s="1515"/>
      <c r="L44" s="1516"/>
      <c r="M44" s="355">
        <v>500</v>
      </c>
      <c r="N44" s="342"/>
      <c r="O44" s="340"/>
    </row>
    <row r="45" spans="2:15" ht="13.8" thickBot="1">
      <c r="J45" s="340"/>
      <c r="K45" s="340"/>
      <c r="L45" s="340"/>
      <c r="M45" s="340"/>
      <c r="N45" s="340"/>
      <c r="O45" s="340"/>
    </row>
    <row r="46" spans="2:15">
      <c r="C46" s="1493" t="s">
        <v>113</v>
      </c>
      <c r="D46" s="1494"/>
      <c r="E46" s="1495"/>
      <c r="F46" s="363">
        <v>6</v>
      </c>
      <c r="J46" s="1508" t="s">
        <v>113</v>
      </c>
      <c r="K46" s="1509"/>
      <c r="L46" s="1510"/>
      <c r="M46" s="364">
        <v>6</v>
      </c>
      <c r="N46" s="340"/>
      <c r="O46" s="340"/>
    </row>
    <row r="47" spans="2:15">
      <c r="C47" s="1496"/>
      <c r="D47" s="1497"/>
      <c r="E47" s="1498"/>
      <c r="F47" s="365">
        <v>12</v>
      </c>
      <c r="J47" s="1511"/>
      <c r="K47" s="1512"/>
      <c r="L47" s="1513"/>
      <c r="M47" s="366">
        <v>12</v>
      </c>
      <c r="N47" s="340"/>
      <c r="O47" s="340"/>
    </row>
    <row r="48" spans="2:15">
      <c r="C48" s="1496"/>
      <c r="D48" s="1497"/>
      <c r="E48" s="1498"/>
      <c r="F48" s="365">
        <v>18</v>
      </c>
      <c r="J48" s="1511"/>
      <c r="K48" s="1512"/>
      <c r="L48" s="1513"/>
      <c r="M48" s="366">
        <v>18</v>
      </c>
      <c r="N48" s="340"/>
      <c r="O48" s="340"/>
    </row>
    <row r="49" spans="3:15">
      <c r="C49" s="1496"/>
      <c r="D49" s="1497"/>
      <c r="E49" s="1498"/>
      <c r="F49" s="365">
        <v>21</v>
      </c>
      <c r="J49" s="1511"/>
      <c r="K49" s="1512"/>
      <c r="L49" s="1513"/>
      <c r="M49" s="366">
        <v>21</v>
      </c>
      <c r="N49" s="340"/>
      <c r="O49" s="340"/>
    </row>
    <row r="50" spans="3:15">
      <c r="C50" s="1496"/>
      <c r="D50" s="1497"/>
      <c r="E50" s="1498"/>
      <c r="F50" s="365">
        <v>24</v>
      </c>
      <c r="J50" s="1511"/>
      <c r="K50" s="1512"/>
      <c r="L50" s="1513"/>
      <c r="M50" s="366">
        <v>24</v>
      </c>
      <c r="N50" s="340"/>
      <c r="O50" s="340"/>
    </row>
    <row r="51" spans="3:15">
      <c r="C51" s="1496"/>
      <c r="D51" s="1497"/>
      <c r="E51" s="1498"/>
      <c r="F51" s="367">
        <v>27</v>
      </c>
      <c r="J51" s="1511"/>
      <c r="K51" s="1512"/>
      <c r="L51" s="1513"/>
      <c r="M51" s="368">
        <v>27</v>
      </c>
      <c r="N51" s="340"/>
      <c r="O51" s="340"/>
    </row>
    <row r="52" spans="3:15" ht="13.8" thickBot="1">
      <c r="C52" s="1499"/>
      <c r="D52" s="1500"/>
      <c r="E52" s="1501"/>
      <c r="F52" s="354"/>
      <c r="J52" s="1514"/>
      <c r="K52" s="1515"/>
      <c r="L52" s="1516"/>
      <c r="M52" s="355"/>
      <c r="N52" s="340"/>
      <c r="O52" s="340"/>
    </row>
    <row r="53" spans="3:15" ht="13.8" thickBot="1">
      <c r="J53" s="340"/>
      <c r="K53" s="340"/>
      <c r="L53" s="340"/>
      <c r="M53" s="340"/>
      <c r="N53" s="340"/>
      <c r="O53" s="340"/>
    </row>
    <row r="54" spans="3:15">
      <c r="C54" s="1493" t="s">
        <v>115</v>
      </c>
      <c r="D54" s="1494"/>
      <c r="E54" s="1495"/>
      <c r="F54" s="350">
        <v>24</v>
      </c>
      <c r="J54" s="1508" t="s">
        <v>115</v>
      </c>
      <c r="K54" s="1509"/>
      <c r="L54" s="1510"/>
      <c r="M54" s="351">
        <v>24</v>
      </c>
      <c r="N54" s="340"/>
      <c r="O54" s="340"/>
    </row>
    <row r="55" spans="3:15">
      <c r="C55" s="1496"/>
      <c r="D55" s="1497"/>
      <c r="E55" s="1498"/>
      <c r="F55" s="352">
        <v>35</v>
      </c>
      <c r="J55" s="1511"/>
      <c r="K55" s="1512"/>
      <c r="L55" s="1513"/>
      <c r="M55" s="353">
        <v>35</v>
      </c>
      <c r="N55" s="340"/>
      <c r="O55" s="340"/>
    </row>
    <row r="56" spans="3:15">
      <c r="C56" s="1496"/>
      <c r="D56" s="1497"/>
      <c r="E56" s="1498"/>
      <c r="F56" s="352">
        <v>45</v>
      </c>
      <c r="J56" s="1511"/>
      <c r="K56" s="1512"/>
      <c r="L56" s="1513"/>
      <c r="M56" s="353">
        <v>45</v>
      </c>
      <c r="N56" s="340"/>
      <c r="O56" s="340"/>
    </row>
    <row r="57" spans="3:15">
      <c r="C57" s="1496"/>
      <c r="D57" s="1497"/>
      <c r="E57" s="1498"/>
      <c r="F57" s="352">
        <v>60</v>
      </c>
      <c r="J57" s="1511"/>
      <c r="K57" s="1512"/>
      <c r="L57" s="1513"/>
      <c r="M57" s="353">
        <v>60</v>
      </c>
      <c r="N57" s="340"/>
      <c r="O57" s="340"/>
    </row>
    <row r="58" spans="3:15">
      <c r="C58" s="1496"/>
      <c r="D58" s="1497"/>
      <c r="E58" s="1498"/>
      <c r="F58" s="352">
        <v>80</v>
      </c>
      <c r="J58" s="1511"/>
      <c r="K58" s="1512"/>
      <c r="L58" s="1513"/>
      <c r="M58" s="353">
        <v>80</v>
      </c>
      <c r="N58" s="340"/>
      <c r="O58" s="340"/>
    </row>
    <row r="59" spans="3:15">
      <c r="C59" s="1496"/>
      <c r="D59" s="1497"/>
      <c r="E59" s="1498"/>
      <c r="F59" s="352">
        <v>100</v>
      </c>
      <c r="J59" s="1511"/>
      <c r="K59" s="1512"/>
      <c r="L59" s="1513"/>
      <c r="M59" s="353">
        <v>100</v>
      </c>
      <c r="N59" s="340"/>
      <c r="O59" s="340"/>
    </row>
    <row r="60" spans="3:15">
      <c r="C60" s="1496"/>
      <c r="D60" s="1497"/>
      <c r="E60" s="1498"/>
      <c r="F60" s="352">
        <v>120</v>
      </c>
      <c r="J60" s="1511"/>
      <c r="K60" s="1512"/>
      <c r="L60" s="1513"/>
      <c r="M60" s="353">
        <v>120</v>
      </c>
      <c r="N60" s="340"/>
      <c r="O60" s="340"/>
    </row>
    <row r="61" spans="3:15">
      <c r="C61" s="1496"/>
      <c r="D61" s="1497"/>
      <c r="E61" s="1498"/>
      <c r="F61" s="352">
        <v>150</v>
      </c>
      <c r="J61" s="1511"/>
      <c r="K61" s="1512"/>
      <c r="L61" s="1513"/>
      <c r="M61" s="353">
        <v>150</v>
      </c>
      <c r="N61" s="340"/>
      <c r="O61" s="340"/>
    </row>
    <row r="62" spans="3:15">
      <c r="C62" s="1496"/>
      <c r="D62" s="1497"/>
      <c r="E62" s="1498"/>
      <c r="F62" s="352"/>
      <c r="J62" s="1511"/>
      <c r="K62" s="1512"/>
      <c r="L62" s="1513"/>
      <c r="M62" s="353"/>
      <c r="N62" s="340"/>
      <c r="O62" s="340"/>
    </row>
    <row r="63" spans="3:15" ht="13.8" thickBot="1">
      <c r="C63" s="1499"/>
      <c r="D63" s="1500"/>
      <c r="E63" s="1501"/>
      <c r="F63" s="354">
        <v>500</v>
      </c>
      <c r="J63" s="1514"/>
      <c r="K63" s="1515"/>
      <c r="L63" s="1516"/>
      <c r="M63" s="355">
        <v>500</v>
      </c>
      <c r="N63" s="340"/>
      <c r="O63" s="340"/>
    </row>
    <row r="64" spans="3:15">
      <c r="J64" s="340"/>
      <c r="K64" s="340"/>
      <c r="L64" s="340"/>
      <c r="M64" s="340"/>
      <c r="N64" s="340"/>
      <c r="O64" s="340"/>
    </row>
    <row r="65" spans="5:15">
      <c r="J65" s="340"/>
      <c r="K65" s="340"/>
      <c r="L65" s="340"/>
      <c r="M65" s="340"/>
      <c r="N65" s="340"/>
      <c r="O65" s="340"/>
    </row>
    <row r="66" spans="5:15">
      <c r="J66" s="340"/>
      <c r="K66" s="340"/>
      <c r="L66" s="340"/>
      <c r="M66" s="340"/>
      <c r="N66" s="340"/>
      <c r="O66" s="340"/>
    </row>
    <row r="67" spans="5:15">
      <c r="E67" s="369"/>
      <c r="F67" s="369"/>
      <c r="G67" s="369"/>
      <c r="H67" s="369"/>
      <c r="I67" s="369"/>
      <c r="J67" s="340"/>
      <c r="K67" s="340"/>
      <c r="L67" s="370"/>
      <c r="M67" s="370"/>
      <c r="N67" s="370"/>
      <c r="O67" s="370"/>
    </row>
    <row r="68" spans="5:15">
      <c r="E68" s="369"/>
      <c r="F68" s="369"/>
      <c r="G68" s="369"/>
      <c r="H68" s="369"/>
      <c r="I68" s="369"/>
      <c r="J68" s="340"/>
      <c r="K68" s="340"/>
      <c r="L68" s="370"/>
      <c r="M68" s="370"/>
      <c r="N68" s="370"/>
      <c r="O68" s="370"/>
    </row>
    <row r="69" spans="5:15">
      <c r="E69" s="369"/>
      <c r="F69" s="369"/>
      <c r="G69" s="369"/>
      <c r="H69" s="369"/>
      <c r="I69" s="369"/>
      <c r="J69" s="340"/>
      <c r="K69" s="340"/>
      <c r="L69" s="370"/>
      <c r="M69" s="370"/>
      <c r="N69" s="370"/>
      <c r="O69" s="370"/>
    </row>
    <row r="70" spans="5:15">
      <c r="E70" s="369"/>
      <c r="F70" s="369"/>
      <c r="G70" s="369"/>
      <c r="H70" s="369"/>
      <c r="I70" s="369"/>
      <c r="J70" s="340"/>
      <c r="K70" s="340"/>
      <c r="L70" s="370"/>
      <c r="M70" s="370"/>
      <c r="N70" s="370"/>
      <c r="O70" s="370"/>
    </row>
    <row r="71" spans="5:15">
      <c r="E71" s="369"/>
      <c r="F71" s="369"/>
      <c r="G71" s="369"/>
      <c r="H71" s="369"/>
      <c r="I71" s="369"/>
      <c r="J71" s="340"/>
      <c r="K71" s="340"/>
      <c r="L71" s="370"/>
      <c r="M71" s="370"/>
      <c r="N71" s="370"/>
      <c r="O71" s="370"/>
    </row>
    <row r="72" spans="5:15">
      <c r="E72" s="369"/>
      <c r="F72" s="369"/>
      <c r="G72" s="369"/>
      <c r="H72" s="369"/>
      <c r="I72" s="369"/>
      <c r="J72" s="340"/>
      <c r="K72" s="340"/>
      <c r="L72" s="370"/>
      <c r="M72" s="370"/>
      <c r="N72" s="370"/>
      <c r="O72" s="370"/>
    </row>
    <row r="73" spans="5:15">
      <c r="E73" s="369"/>
      <c r="F73" s="369"/>
      <c r="G73" s="369"/>
      <c r="H73" s="369"/>
      <c r="I73" s="369"/>
      <c r="J73" s="340"/>
      <c r="K73" s="340"/>
      <c r="L73" s="370"/>
      <c r="M73" s="370"/>
      <c r="N73" s="370"/>
      <c r="O73" s="370"/>
    </row>
    <row r="74" spans="5:15">
      <c r="E74" s="369"/>
      <c r="F74" s="369"/>
      <c r="G74" s="369"/>
      <c r="H74" s="369"/>
      <c r="I74" s="369"/>
    </row>
    <row r="75" spans="5:15">
      <c r="E75" s="369"/>
      <c r="F75" s="369"/>
      <c r="G75" s="369"/>
      <c r="H75" s="369"/>
      <c r="I75" s="369"/>
    </row>
    <row r="76" spans="5:15">
      <c r="E76" s="369"/>
      <c r="F76" s="369"/>
      <c r="G76" s="369"/>
      <c r="H76" s="369"/>
      <c r="I76" s="369"/>
    </row>
    <row r="77" spans="5:15">
      <c r="E77" s="369"/>
      <c r="F77" s="369"/>
      <c r="G77" s="369"/>
      <c r="H77" s="369"/>
      <c r="I77" s="369"/>
    </row>
    <row r="78" spans="5:15">
      <c r="E78" s="369"/>
      <c r="F78" s="369"/>
      <c r="G78" s="369"/>
      <c r="H78" s="369"/>
      <c r="I78" s="369"/>
    </row>
    <row r="79" spans="5:15">
      <c r="E79" s="369"/>
      <c r="F79" s="369"/>
      <c r="G79" s="369"/>
      <c r="H79" s="369"/>
      <c r="I79" s="369"/>
    </row>
    <row r="80" spans="5:15">
      <c r="E80" s="369"/>
      <c r="F80" s="369"/>
      <c r="G80" s="369"/>
      <c r="H80" s="369"/>
      <c r="I80" s="369"/>
    </row>
  </sheetData>
  <sheetProtection password="C444" sheet="1" objects="1" scenarios="1" selectLockedCells="1" selectUnlockedCells="1"/>
  <mergeCells count="18">
    <mergeCell ref="C54:E63"/>
    <mergeCell ref="C46:E52"/>
    <mergeCell ref="C35:E44"/>
    <mergeCell ref="J54:L63"/>
    <mergeCell ref="J35:L44"/>
    <mergeCell ref="J46:L52"/>
    <mergeCell ref="J27:L33"/>
    <mergeCell ref="J1:M2"/>
    <mergeCell ref="J6:L10"/>
    <mergeCell ref="J3:L4"/>
    <mergeCell ref="J12:L17"/>
    <mergeCell ref="J19:L25"/>
    <mergeCell ref="C27:E33"/>
    <mergeCell ref="C19:E25"/>
    <mergeCell ref="C6:E10"/>
    <mergeCell ref="C3:E4"/>
    <mergeCell ref="C1:F2"/>
    <mergeCell ref="C12:E1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Hinweise</vt:lpstr>
      <vt:lpstr>Begründungen</vt:lpstr>
      <vt:lpstr>TWW-DIM-Beispiel</vt:lpstr>
      <vt:lpstr>TWW-DIM</vt:lpstr>
      <vt:lpstr>SLS</vt:lpstr>
      <vt:lpstr>A1</vt:lpstr>
      <vt:lpstr>A2</vt:lpstr>
      <vt:lpstr>Auswahl</vt:lpstr>
      <vt:lpstr>'A1'!Druckbereich</vt:lpstr>
      <vt:lpstr>'A2'!Druckbereich</vt:lpstr>
      <vt:lpstr>Begründungen!Druckbereich</vt:lpstr>
      <vt:lpstr>Hinweise!Druckbereich</vt:lpstr>
      <vt:lpstr>SLS!Druckbereich</vt:lpstr>
      <vt:lpstr>'TWW-DIM'!Druckbereich</vt:lpstr>
      <vt:lpstr>'TWW-DIM-Beispiel'!Druckbereich</vt:lpstr>
    </vt:vector>
  </TitlesOfParts>
  <Company>BLB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060Exner</dc:creator>
  <cp:lastModifiedBy>Hilmer Rebecca (OFD-Bau)</cp:lastModifiedBy>
  <cp:lastPrinted>2025-03-11T09:56:36Z</cp:lastPrinted>
  <dcterms:created xsi:type="dcterms:W3CDTF">2014-02-05T09:18:02Z</dcterms:created>
  <dcterms:modified xsi:type="dcterms:W3CDTF">2025-04-02T14:34:39Z</dcterms:modified>
</cp:coreProperties>
</file>